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ИПР 2025-2029\Реконструкция\"/>
    </mc:Choice>
  </mc:AlternateContent>
  <bookViews>
    <workbookView xWindow="570" yWindow="600" windowWidth="28230" windowHeight="15600"/>
  </bookViews>
  <sheets>
    <sheet name="Смета по ФСНБ 421+557прРИМ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ФСНБ 421+557прРИМ'!$52:$52</definedName>
    <definedName name="_xlnm.Print_Area" localSheetId="0">'Смета по ФСНБ 421+557прРИМ'!$A$1:$L$1212</definedName>
  </definedNames>
  <calcPr calcId="162913"/>
</workbook>
</file>

<file path=xl/calcChain.xml><?xml version="1.0" encoding="utf-8"?>
<calcChain xmlns="http://schemas.openxmlformats.org/spreadsheetml/2006/main">
  <c r="C44" i="7" l="1"/>
  <c r="H1210" i="7" l="1"/>
  <c r="H1207" i="7"/>
  <c r="C1210" i="7"/>
  <c r="C1207" i="7"/>
  <c r="C1200" i="7"/>
  <c r="L1196" i="7"/>
  <c r="L1192" i="7"/>
  <c r="L1191" i="7"/>
  <c r="L1189" i="7" s="1"/>
  <c r="L1185" i="7"/>
  <c r="L1184" i="7"/>
  <c r="L1180" i="7"/>
  <c r="L1165" i="7"/>
  <c r="L1164" i="7"/>
  <c r="L1160" i="7"/>
  <c r="L1149" i="7"/>
  <c r="L1144" i="7"/>
  <c r="L1143" i="7"/>
  <c r="L1141" i="7" s="1"/>
  <c r="L1136" i="7"/>
  <c r="L1135" i="7"/>
  <c r="L1131" i="7"/>
  <c r="L1116" i="7"/>
  <c r="L1115" i="7"/>
  <c r="L1111" i="7"/>
  <c r="L1094" i="7"/>
  <c r="L1093" i="7"/>
  <c r="L1090" i="7"/>
  <c r="L1088" i="7"/>
  <c r="L1087" i="7"/>
  <c r="L1085" i="7" s="1"/>
  <c r="L1081" i="7"/>
  <c r="L1080" i="7"/>
  <c r="L1076" i="7"/>
  <c r="AW1066" i="7"/>
  <c r="AT1066" i="7"/>
  <c r="AO1066" i="7"/>
  <c r="AE1066" i="7"/>
  <c r="AD1066" i="7"/>
  <c r="CB1066" i="7"/>
  <c r="CC1066" i="7"/>
  <c r="G1065" i="7"/>
  <c r="E1065" i="7"/>
  <c r="G1064" i="7"/>
  <c r="E1064" i="7"/>
  <c r="L1061" i="7"/>
  <c r="J1061" i="7"/>
  <c r="G1061" i="7"/>
  <c r="L1060" i="7"/>
  <c r="L1059" i="7" s="1"/>
  <c r="J1060" i="7"/>
  <c r="G1060" i="7"/>
  <c r="E1058" i="7"/>
  <c r="G1058" i="7"/>
  <c r="D1058" i="7"/>
  <c r="C1058" i="7"/>
  <c r="AW1057" i="7"/>
  <c r="AT1057" i="7"/>
  <c r="AO1057" i="7"/>
  <c r="AE1057" i="7"/>
  <c r="AD1057" i="7"/>
  <c r="CB1057" i="7"/>
  <c r="CC1057" i="7"/>
  <c r="G1056" i="7"/>
  <c r="E1056" i="7"/>
  <c r="G1055" i="7"/>
  <c r="E1055" i="7"/>
  <c r="L1052" i="7"/>
  <c r="J1052" i="7"/>
  <c r="G1052" i="7"/>
  <c r="L1051" i="7"/>
  <c r="L1050" i="7" s="1"/>
  <c r="J1051" i="7"/>
  <c r="G1051" i="7"/>
  <c r="C1049" i="7"/>
  <c r="E1048" i="7"/>
  <c r="G1048" i="7"/>
  <c r="D1048" i="7"/>
  <c r="C1048" i="7"/>
  <c r="AW1047" i="7"/>
  <c r="AT1047" i="7"/>
  <c r="AO1047" i="7"/>
  <c r="AE1047" i="7"/>
  <c r="AD1047" i="7"/>
  <c r="CB1047" i="7"/>
  <c r="CC1047" i="7"/>
  <c r="G1046" i="7"/>
  <c r="E1046" i="7"/>
  <c r="G1045" i="7"/>
  <c r="E1045" i="7"/>
  <c r="L1042" i="7"/>
  <c r="J1042" i="7"/>
  <c r="G1042" i="7"/>
  <c r="L1041" i="7"/>
  <c r="L1040" i="7" s="1"/>
  <c r="J1041" i="7"/>
  <c r="G1041" i="7"/>
  <c r="E1039" i="7"/>
  <c r="G1039" i="7"/>
  <c r="D1039" i="7"/>
  <c r="C1039" i="7"/>
  <c r="AW1038" i="7"/>
  <c r="AT1038" i="7"/>
  <c r="AO1038" i="7"/>
  <c r="AE1038" i="7"/>
  <c r="AD1038" i="7"/>
  <c r="CB1038" i="7"/>
  <c r="CC1038" i="7"/>
  <c r="G1037" i="7"/>
  <c r="E1037" i="7"/>
  <c r="G1036" i="7"/>
  <c r="E1036" i="7"/>
  <c r="L1033" i="7"/>
  <c r="J1033" i="7"/>
  <c r="G1033" i="7"/>
  <c r="L1032" i="7"/>
  <c r="L1031" i="7" s="1"/>
  <c r="J1032" i="7"/>
  <c r="G1032" i="7"/>
  <c r="E1030" i="7"/>
  <c r="G1030" i="7"/>
  <c r="D1030" i="7"/>
  <c r="C1030" i="7"/>
  <c r="AW1029" i="7"/>
  <c r="AT1029" i="7"/>
  <c r="AO1029" i="7"/>
  <c r="AE1029" i="7"/>
  <c r="AD1029" i="7"/>
  <c r="CB1029" i="7"/>
  <c r="CC1029" i="7"/>
  <c r="G1028" i="7"/>
  <c r="E1028" i="7"/>
  <c r="G1027" i="7"/>
  <c r="E1027" i="7"/>
  <c r="L1024" i="7"/>
  <c r="J1024" i="7"/>
  <c r="G1024" i="7"/>
  <c r="L1023" i="7"/>
  <c r="L1022" i="7" s="1"/>
  <c r="J1023" i="7"/>
  <c r="G1023" i="7"/>
  <c r="E1021" i="7"/>
  <c r="G1021" i="7"/>
  <c r="D1021" i="7"/>
  <c r="C1021" i="7"/>
  <c r="AW1020" i="7"/>
  <c r="AT1020" i="7"/>
  <c r="AO1020" i="7"/>
  <c r="AE1020" i="7"/>
  <c r="AD1020" i="7"/>
  <c r="CB1020" i="7"/>
  <c r="CC1020" i="7"/>
  <c r="G1019" i="7"/>
  <c r="E1019" i="7"/>
  <c r="G1018" i="7"/>
  <c r="E1018" i="7"/>
  <c r="L1015" i="7"/>
  <c r="J1015" i="7"/>
  <c r="G1015" i="7"/>
  <c r="L1014" i="7"/>
  <c r="L1013" i="7" s="1"/>
  <c r="J1014" i="7"/>
  <c r="G1014" i="7"/>
  <c r="E1012" i="7"/>
  <c r="G1012" i="7"/>
  <c r="D1012" i="7"/>
  <c r="C1012" i="7"/>
  <c r="AW1011" i="7"/>
  <c r="AT1011" i="7"/>
  <c r="AO1011" i="7"/>
  <c r="AE1011" i="7"/>
  <c r="AD1011" i="7"/>
  <c r="CB1011" i="7"/>
  <c r="CC1011" i="7"/>
  <c r="G1010" i="7"/>
  <c r="E1010" i="7"/>
  <c r="G1009" i="7"/>
  <c r="E1009" i="7"/>
  <c r="L1006" i="7"/>
  <c r="J1006" i="7"/>
  <c r="G1006" i="7"/>
  <c r="L1005" i="7"/>
  <c r="L1004" i="7" s="1"/>
  <c r="J1005" i="7"/>
  <c r="G1005" i="7"/>
  <c r="E1003" i="7"/>
  <c r="G1003" i="7"/>
  <c r="D1003" i="7"/>
  <c r="C1003" i="7"/>
  <c r="AW1002" i="7"/>
  <c r="AT1002" i="7"/>
  <c r="AO1002" i="7"/>
  <c r="AE1002" i="7"/>
  <c r="AD1002" i="7"/>
  <c r="CB1002" i="7"/>
  <c r="CC1002" i="7"/>
  <c r="G1001" i="7"/>
  <c r="E1001" i="7"/>
  <c r="G1000" i="7"/>
  <c r="E1000" i="7"/>
  <c r="L997" i="7"/>
  <c r="J997" i="7"/>
  <c r="G997" i="7"/>
  <c r="L996" i="7"/>
  <c r="L995" i="7" s="1"/>
  <c r="J996" i="7"/>
  <c r="G996" i="7"/>
  <c r="E994" i="7"/>
  <c r="G994" i="7"/>
  <c r="D994" i="7"/>
  <c r="C994" i="7"/>
  <c r="AW993" i="7"/>
  <c r="AT993" i="7"/>
  <c r="AO993" i="7"/>
  <c r="AE993" i="7"/>
  <c r="AD993" i="7"/>
  <c r="CB993" i="7"/>
  <c r="CC993" i="7"/>
  <c r="G992" i="7"/>
  <c r="E992" i="7"/>
  <c r="G991" i="7"/>
  <c r="E991" i="7"/>
  <c r="L988" i="7"/>
  <c r="J988" i="7"/>
  <c r="G988" i="7"/>
  <c r="L987" i="7"/>
  <c r="L986" i="7" s="1"/>
  <c r="J987" i="7"/>
  <c r="G987" i="7"/>
  <c r="E985" i="7"/>
  <c r="G985" i="7"/>
  <c r="D985" i="7"/>
  <c r="C985" i="7"/>
  <c r="AW984" i="7"/>
  <c r="AT984" i="7"/>
  <c r="AO984" i="7"/>
  <c r="AE984" i="7"/>
  <c r="AD984" i="7"/>
  <c r="CB984" i="7"/>
  <c r="CC984" i="7"/>
  <c r="G983" i="7"/>
  <c r="E983" i="7"/>
  <c r="G982" i="7"/>
  <c r="E982" i="7"/>
  <c r="L979" i="7"/>
  <c r="J979" i="7"/>
  <c r="G979" i="7"/>
  <c r="L978" i="7"/>
  <c r="L977" i="7" s="1"/>
  <c r="J978" i="7"/>
  <c r="G978" i="7"/>
  <c r="E976" i="7"/>
  <c r="G976" i="7"/>
  <c r="D976" i="7"/>
  <c r="C976" i="7"/>
  <c r="AW975" i="7"/>
  <c r="AT975" i="7"/>
  <c r="AO975" i="7"/>
  <c r="AE975" i="7"/>
  <c r="AD975" i="7"/>
  <c r="CB975" i="7"/>
  <c r="CC975" i="7"/>
  <c r="G974" i="7"/>
  <c r="E974" i="7"/>
  <c r="G973" i="7"/>
  <c r="E973" i="7"/>
  <c r="L970" i="7"/>
  <c r="J970" i="7"/>
  <c r="G970" i="7"/>
  <c r="L969" i="7"/>
  <c r="L968" i="7" s="1"/>
  <c r="J969" i="7"/>
  <c r="G969" i="7"/>
  <c r="E967" i="7"/>
  <c r="G967" i="7"/>
  <c r="D967" i="7"/>
  <c r="C967" i="7"/>
  <c r="AW966" i="7"/>
  <c r="AT966" i="7"/>
  <c r="AO966" i="7"/>
  <c r="AE966" i="7"/>
  <c r="AD966" i="7"/>
  <c r="CB966" i="7"/>
  <c r="CC966" i="7"/>
  <c r="G965" i="7"/>
  <c r="E965" i="7"/>
  <c r="G964" i="7"/>
  <c r="E964" i="7"/>
  <c r="L961" i="7"/>
  <c r="J961" i="7"/>
  <c r="G961" i="7"/>
  <c r="L960" i="7"/>
  <c r="J960" i="7"/>
  <c r="G960" i="7"/>
  <c r="L959" i="7"/>
  <c r="L958" i="7" s="1"/>
  <c r="J959" i="7"/>
  <c r="G959" i="7"/>
  <c r="E957" i="7"/>
  <c r="G957" i="7"/>
  <c r="D957" i="7"/>
  <c r="C957" i="7"/>
  <c r="AW956" i="7"/>
  <c r="AT956" i="7"/>
  <c r="AO956" i="7"/>
  <c r="AE956" i="7"/>
  <c r="AD956" i="7"/>
  <c r="CB956" i="7"/>
  <c r="CC956" i="7"/>
  <c r="G955" i="7"/>
  <c r="E955" i="7"/>
  <c r="G954" i="7"/>
  <c r="E954" i="7"/>
  <c r="L951" i="7"/>
  <c r="J951" i="7"/>
  <c r="G951" i="7"/>
  <c r="L950" i="7"/>
  <c r="J950" i="7"/>
  <c r="G950" i="7"/>
  <c r="L949" i="7"/>
  <c r="L948" i="7" s="1"/>
  <c r="J949" i="7"/>
  <c r="G949" i="7"/>
  <c r="E947" i="7"/>
  <c r="G947" i="7"/>
  <c r="D947" i="7"/>
  <c r="C947" i="7"/>
  <c r="AW946" i="7"/>
  <c r="AT946" i="7"/>
  <c r="AO946" i="7"/>
  <c r="AE946" i="7"/>
  <c r="AD946" i="7"/>
  <c r="CB946" i="7"/>
  <c r="CC946" i="7"/>
  <c r="G945" i="7"/>
  <c r="E945" i="7"/>
  <c r="G944" i="7"/>
  <c r="E944" i="7"/>
  <c r="L941" i="7"/>
  <c r="J941" i="7"/>
  <c r="G941" i="7"/>
  <c r="L940" i="7"/>
  <c r="L939" i="7" s="1"/>
  <c r="J940" i="7"/>
  <c r="G940" i="7"/>
  <c r="E938" i="7"/>
  <c r="G938" i="7"/>
  <c r="D938" i="7"/>
  <c r="C938" i="7"/>
  <c r="AW937" i="7"/>
  <c r="AT937" i="7"/>
  <c r="AO937" i="7"/>
  <c r="AE937" i="7"/>
  <c r="AD937" i="7"/>
  <c r="CB937" i="7"/>
  <c r="CC937" i="7"/>
  <c r="G936" i="7"/>
  <c r="E936" i="7"/>
  <c r="G935" i="7"/>
  <c r="E935" i="7"/>
  <c r="L932" i="7"/>
  <c r="J932" i="7"/>
  <c r="G932" i="7"/>
  <c r="L931" i="7"/>
  <c r="L930" i="7" s="1"/>
  <c r="J931" i="7"/>
  <c r="G931" i="7"/>
  <c r="E929" i="7"/>
  <c r="G929" i="7"/>
  <c r="D929" i="7"/>
  <c r="C929" i="7"/>
  <c r="AW928" i="7"/>
  <c r="AT928" i="7"/>
  <c r="AO928" i="7"/>
  <c r="AE928" i="7"/>
  <c r="AD928" i="7"/>
  <c r="CB928" i="7"/>
  <c r="CC928" i="7"/>
  <c r="G927" i="7"/>
  <c r="E927" i="7"/>
  <c r="G926" i="7"/>
  <c r="E926" i="7"/>
  <c r="L923" i="7"/>
  <c r="J923" i="7"/>
  <c r="G923" i="7"/>
  <c r="L922" i="7"/>
  <c r="L921" i="7" s="1"/>
  <c r="J922" i="7"/>
  <c r="G922" i="7"/>
  <c r="E920" i="7"/>
  <c r="G920" i="7"/>
  <c r="D920" i="7"/>
  <c r="C920" i="7"/>
  <c r="AW919" i="7"/>
  <c r="AT919" i="7"/>
  <c r="AO919" i="7"/>
  <c r="AE919" i="7"/>
  <c r="AD919" i="7"/>
  <c r="CB919" i="7"/>
  <c r="CC919" i="7"/>
  <c r="G918" i="7"/>
  <c r="E918" i="7"/>
  <c r="G917" i="7"/>
  <c r="E917" i="7"/>
  <c r="L914" i="7"/>
  <c r="J914" i="7"/>
  <c r="G914" i="7"/>
  <c r="L913" i="7"/>
  <c r="L912" i="7" s="1"/>
  <c r="J913" i="7"/>
  <c r="G913" i="7"/>
  <c r="E911" i="7"/>
  <c r="G911" i="7"/>
  <c r="D911" i="7"/>
  <c r="C911" i="7"/>
  <c r="G907" i="7"/>
  <c r="G906" i="7"/>
  <c r="L905" i="7"/>
  <c r="L901" i="7"/>
  <c r="L899" i="7"/>
  <c r="L898" i="7"/>
  <c r="L896" i="7" s="1"/>
  <c r="L892" i="7"/>
  <c r="L891" i="7"/>
  <c r="L887" i="7"/>
  <c r="AT877" i="7"/>
  <c r="AR877" i="7"/>
  <c r="AO877" i="7"/>
  <c r="BA877" i="7"/>
  <c r="AZ877" i="7"/>
  <c r="AE877" i="7"/>
  <c r="AD877" i="7"/>
  <c r="L876" i="7"/>
  <c r="J876" i="7"/>
  <c r="E876" i="7"/>
  <c r="G876" i="7"/>
  <c r="D876" i="7"/>
  <c r="B876" i="7"/>
  <c r="AT875" i="7"/>
  <c r="AR875" i="7"/>
  <c r="AO875" i="7"/>
  <c r="BA875" i="7"/>
  <c r="AZ875" i="7"/>
  <c r="AE875" i="7"/>
  <c r="AD875" i="7"/>
  <c r="L874" i="7"/>
  <c r="J874" i="7"/>
  <c r="E874" i="7"/>
  <c r="G874" i="7"/>
  <c r="D874" i="7"/>
  <c r="B874" i="7"/>
  <c r="AT873" i="7"/>
  <c r="L886" i="7" s="1"/>
  <c r="AR873" i="7"/>
  <c r="AO873" i="7"/>
  <c r="L884" i="7" s="1"/>
  <c r="L882" i="7" s="1"/>
  <c r="BA873" i="7"/>
  <c r="L895" i="7" s="1"/>
  <c r="AZ873" i="7"/>
  <c r="L894" i="7" s="1"/>
  <c r="AE873" i="7"/>
  <c r="AD873" i="7"/>
  <c r="L872" i="7"/>
  <c r="J872" i="7"/>
  <c r="E872" i="7"/>
  <c r="G872" i="7"/>
  <c r="D872" i="7"/>
  <c r="B872" i="7"/>
  <c r="G868" i="7"/>
  <c r="G867" i="7"/>
  <c r="L866" i="7"/>
  <c r="L865" i="7"/>
  <c r="L862" i="7"/>
  <c r="L860" i="7"/>
  <c r="L859" i="7"/>
  <c r="L857" i="7" s="1"/>
  <c r="L853" i="7"/>
  <c r="L852" i="7"/>
  <c r="L848" i="7"/>
  <c r="AT838" i="7"/>
  <c r="AR838" i="7"/>
  <c r="AO838" i="7"/>
  <c r="BA838" i="7"/>
  <c r="AZ838" i="7"/>
  <c r="AE838" i="7"/>
  <c r="AD838" i="7"/>
  <c r="C837" i="7"/>
  <c r="L836" i="7"/>
  <c r="I836" i="7"/>
  <c r="H836" i="7"/>
  <c r="J836" i="7" s="1"/>
  <c r="E836" i="7"/>
  <c r="G836" i="7"/>
  <c r="D836" i="7"/>
  <c r="C836" i="7"/>
  <c r="B836" i="7"/>
  <c r="AT835" i="7"/>
  <c r="AR835" i="7"/>
  <c r="AO835" i="7"/>
  <c r="BA835" i="7"/>
  <c r="AZ835" i="7"/>
  <c r="AE835" i="7"/>
  <c r="AD835" i="7"/>
  <c r="L834" i="7"/>
  <c r="I834" i="7"/>
  <c r="H834" i="7"/>
  <c r="J834" i="7" s="1"/>
  <c r="E834" i="7"/>
  <c r="G834" i="7"/>
  <c r="D834" i="7"/>
  <c r="C834" i="7"/>
  <c r="B834" i="7"/>
  <c r="AT833" i="7"/>
  <c r="AR833" i="7"/>
  <c r="AO833" i="7"/>
  <c r="BA833" i="7"/>
  <c r="AZ833" i="7"/>
  <c r="AE833" i="7"/>
  <c r="AD833" i="7"/>
  <c r="L832" i="7"/>
  <c r="I832" i="7"/>
  <c r="H832" i="7"/>
  <c r="J832" i="7" s="1"/>
  <c r="E832" i="7"/>
  <c r="G832" i="7"/>
  <c r="D832" i="7"/>
  <c r="C832" i="7"/>
  <c r="B832" i="7"/>
  <c r="AT831" i="7"/>
  <c r="AR831" i="7"/>
  <c r="AO831" i="7"/>
  <c r="BA831" i="7"/>
  <c r="AZ831" i="7"/>
  <c r="AE831" i="7"/>
  <c r="AD831" i="7"/>
  <c r="L830" i="7"/>
  <c r="H830" i="7"/>
  <c r="E830" i="7"/>
  <c r="G830" i="7"/>
  <c r="D830" i="7"/>
  <c r="C830" i="7"/>
  <c r="B830" i="7"/>
  <c r="AT829" i="7"/>
  <c r="AR829" i="7"/>
  <c r="AO829" i="7"/>
  <c r="BA829" i="7"/>
  <c r="AZ829" i="7"/>
  <c r="AE829" i="7"/>
  <c r="AD829" i="7"/>
  <c r="C828" i="7"/>
  <c r="L827" i="7"/>
  <c r="I827" i="7"/>
  <c r="H827" i="7"/>
  <c r="J827" i="7" s="1"/>
  <c r="E827" i="7"/>
  <c r="G827" i="7"/>
  <c r="D827" i="7"/>
  <c r="C827" i="7"/>
  <c r="B827" i="7"/>
  <c r="AT826" i="7"/>
  <c r="AR826" i="7"/>
  <c r="AO826" i="7"/>
  <c r="BA826" i="7"/>
  <c r="AZ826" i="7"/>
  <c r="AE826" i="7"/>
  <c r="AD826" i="7"/>
  <c r="C825" i="7"/>
  <c r="L824" i="7"/>
  <c r="I824" i="7"/>
  <c r="H824" i="7"/>
  <c r="J824" i="7" s="1"/>
  <c r="E824" i="7"/>
  <c r="G824" i="7"/>
  <c r="D824" i="7"/>
  <c r="C824" i="7"/>
  <c r="B824" i="7"/>
  <c r="AT823" i="7"/>
  <c r="AR823" i="7"/>
  <c r="AO823" i="7"/>
  <c r="BA823" i="7"/>
  <c r="AZ823" i="7"/>
  <c r="AE823" i="7"/>
  <c r="AD823" i="7"/>
  <c r="L822" i="7"/>
  <c r="H822" i="7"/>
  <c r="E822" i="7"/>
  <c r="G822" i="7"/>
  <c r="D822" i="7"/>
  <c r="C822" i="7"/>
  <c r="B822" i="7"/>
  <c r="AT821" i="7"/>
  <c r="AR821" i="7"/>
  <c r="AO821" i="7"/>
  <c r="BA821" i="7"/>
  <c r="AZ821" i="7"/>
  <c r="AE821" i="7"/>
  <c r="AD821" i="7"/>
  <c r="L820" i="7"/>
  <c r="I820" i="7"/>
  <c r="H820" i="7"/>
  <c r="J820" i="7" s="1"/>
  <c r="E820" i="7"/>
  <c r="G820" i="7"/>
  <c r="D820" i="7"/>
  <c r="C820" i="7"/>
  <c r="B820" i="7"/>
  <c r="AT819" i="7"/>
  <c r="L847" i="7" s="1"/>
  <c r="AR819" i="7"/>
  <c r="AO819" i="7"/>
  <c r="L845" i="7" s="1"/>
  <c r="L843" i="7" s="1"/>
  <c r="BA819" i="7"/>
  <c r="L856" i="7" s="1"/>
  <c r="AZ819" i="7"/>
  <c r="L855" i="7" s="1"/>
  <c r="AE819" i="7"/>
  <c r="AD819" i="7"/>
  <c r="C818" i="7"/>
  <c r="L817" i="7"/>
  <c r="I817" i="7"/>
  <c r="H817" i="7"/>
  <c r="J817" i="7" s="1"/>
  <c r="E817" i="7"/>
  <c r="G817" i="7"/>
  <c r="D817" i="7"/>
  <c r="C817" i="7"/>
  <c r="B817" i="7"/>
  <c r="L811" i="7"/>
  <c r="L810" i="7"/>
  <c r="L807" i="7"/>
  <c r="L805" i="7"/>
  <c r="L804" i="7"/>
  <c r="L802" i="7" s="1"/>
  <c r="L798" i="7"/>
  <c r="L797" i="7"/>
  <c r="L793" i="7"/>
  <c r="AE783" i="7"/>
  <c r="AD783" i="7"/>
  <c r="G782" i="7"/>
  <c r="E782" i="7"/>
  <c r="G781" i="7"/>
  <c r="E781" i="7"/>
  <c r="L778" i="7"/>
  <c r="I778" i="7"/>
  <c r="H778" i="7"/>
  <c r="J778" i="7" s="1"/>
  <c r="G778" i="7"/>
  <c r="L777" i="7"/>
  <c r="I777" i="7"/>
  <c r="H777" i="7"/>
  <c r="J777" i="7" s="1"/>
  <c r="G777" i="7"/>
  <c r="L776" i="7"/>
  <c r="L775" i="7" s="1"/>
  <c r="AW783" i="7" s="1"/>
  <c r="I776" i="7"/>
  <c r="H776" i="7"/>
  <c r="J776" i="7" s="1"/>
  <c r="G776" i="7"/>
  <c r="L774" i="7"/>
  <c r="J774" i="7"/>
  <c r="G774" i="7"/>
  <c r="L773" i="7"/>
  <c r="J773" i="7"/>
  <c r="G773" i="7"/>
  <c r="E773" i="7"/>
  <c r="L772" i="7"/>
  <c r="I772" i="7"/>
  <c r="H772" i="7"/>
  <c r="J772" i="7" s="1"/>
  <c r="G772" i="7"/>
  <c r="L771" i="7"/>
  <c r="L769" i="7" s="1"/>
  <c r="J771" i="7"/>
  <c r="G771" i="7"/>
  <c r="E771" i="7"/>
  <c r="L770" i="7"/>
  <c r="J770" i="7"/>
  <c r="G770" i="7"/>
  <c r="L767" i="7"/>
  <c r="L766" i="7" s="1"/>
  <c r="J767" i="7"/>
  <c r="G767" i="7"/>
  <c r="C765" i="7"/>
  <c r="E764" i="7"/>
  <c r="G764" i="7"/>
  <c r="D764" i="7"/>
  <c r="C764" i="7"/>
  <c r="AE763" i="7"/>
  <c r="AD763" i="7"/>
  <c r="G762" i="7"/>
  <c r="E762" i="7"/>
  <c r="G761" i="7"/>
  <c r="E761" i="7"/>
  <c r="L758" i="7"/>
  <c r="I758" i="7"/>
  <c r="H758" i="7"/>
  <c r="J758" i="7" s="1"/>
  <c r="G758" i="7"/>
  <c r="L757" i="7"/>
  <c r="I757" i="7"/>
  <c r="H757" i="7"/>
  <c r="J757" i="7" s="1"/>
  <c r="G757" i="7"/>
  <c r="L756" i="7"/>
  <c r="L755" i="7" s="1"/>
  <c r="AW763" i="7" s="1"/>
  <c r="I756" i="7"/>
  <c r="H756" i="7"/>
  <c r="J756" i="7" s="1"/>
  <c r="G756" i="7"/>
  <c r="L754" i="7"/>
  <c r="J754" i="7"/>
  <c r="G754" i="7"/>
  <c r="L753" i="7"/>
  <c r="J753" i="7"/>
  <c r="G753" i="7"/>
  <c r="E753" i="7"/>
  <c r="L752" i="7"/>
  <c r="I752" i="7"/>
  <c r="H752" i="7"/>
  <c r="J752" i="7" s="1"/>
  <c r="G752" i="7"/>
  <c r="L751" i="7"/>
  <c r="L749" i="7" s="1"/>
  <c r="J751" i="7"/>
  <c r="G751" i="7"/>
  <c r="E751" i="7"/>
  <c r="L750" i="7"/>
  <c r="J750" i="7"/>
  <c r="G750" i="7"/>
  <c r="L747" i="7"/>
  <c r="L746" i="7" s="1"/>
  <c r="J747" i="7"/>
  <c r="G747" i="7"/>
  <c r="C745" i="7"/>
  <c r="E744" i="7"/>
  <c r="G744" i="7"/>
  <c r="D744" i="7"/>
  <c r="C744" i="7"/>
  <c r="AE743" i="7"/>
  <c r="AD743" i="7"/>
  <c r="G742" i="7"/>
  <c r="E742" i="7"/>
  <c r="G741" i="7"/>
  <c r="E741" i="7"/>
  <c r="L738" i="7"/>
  <c r="I738" i="7"/>
  <c r="H738" i="7"/>
  <c r="J738" i="7" s="1"/>
  <c r="G738" i="7"/>
  <c r="L737" i="7"/>
  <c r="L736" i="7" s="1"/>
  <c r="AW743" i="7" s="1"/>
  <c r="I737" i="7"/>
  <c r="H737" i="7"/>
  <c r="J737" i="7" s="1"/>
  <c r="G737" i="7"/>
  <c r="L735" i="7"/>
  <c r="J735" i="7"/>
  <c r="G735" i="7"/>
  <c r="L734" i="7"/>
  <c r="J734" i="7"/>
  <c r="G734" i="7"/>
  <c r="E734" i="7"/>
  <c r="L733" i="7"/>
  <c r="I733" i="7"/>
  <c r="H733" i="7"/>
  <c r="J733" i="7" s="1"/>
  <c r="G733" i="7"/>
  <c r="L732" i="7"/>
  <c r="L730" i="7" s="1"/>
  <c r="J732" i="7"/>
  <c r="G732" i="7"/>
  <c r="E732" i="7"/>
  <c r="L731" i="7"/>
  <c r="J731" i="7"/>
  <c r="G731" i="7"/>
  <c r="L728" i="7"/>
  <c r="L727" i="7" s="1"/>
  <c r="J728" i="7"/>
  <c r="G728" i="7"/>
  <c r="C726" i="7"/>
  <c r="E725" i="7"/>
  <c r="G725" i="7"/>
  <c r="D725" i="7"/>
  <c r="C725" i="7"/>
  <c r="AE724" i="7"/>
  <c r="AD724" i="7"/>
  <c r="G723" i="7"/>
  <c r="E723" i="7"/>
  <c r="G722" i="7"/>
  <c r="E722" i="7"/>
  <c r="L719" i="7"/>
  <c r="I719" i="7"/>
  <c r="H719" i="7"/>
  <c r="J719" i="7" s="1"/>
  <c r="G719" i="7"/>
  <c r="L718" i="7"/>
  <c r="I718" i="7"/>
  <c r="H718" i="7"/>
  <c r="J718" i="7" s="1"/>
  <c r="G718" i="7"/>
  <c r="L717" i="7"/>
  <c r="I717" i="7"/>
  <c r="H717" i="7"/>
  <c r="J717" i="7" s="1"/>
  <c r="G717" i="7"/>
  <c r="L716" i="7"/>
  <c r="I716" i="7"/>
  <c r="H716" i="7"/>
  <c r="J716" i="7" s="1"/>
  <c r="G716" i="7"/>
  <c r="L715" i="7"/>
  <c r="I715" i="7"/>
  <c r="H715" i="7"/>
  <c r="J715" i="7" s="1"/>
  <c r="G715" i="7"/>
  <c r="L714" i="7"/>
  <c r="J714" i="7"/>
  <c r="G714" i="7"/>
  <c r="L713" i="7"/>
  <c r="I713" i="7"/>
  <c r="H713" i="7"/>
  <c r="J713" i="7" s="1"/>
  <c r="G713" i="7"/>
  <c r="L712" i="7"/>
  <c r="L711" i="7" s="1"/>
  <c r="AW724" i="7" s="1"/>
  <c r="I712" i="7"/>
  <c r="H712" i="7"/>
  <c r="J712" i="7" s="1"/>
  <c r="G712" i="7"/>
  <c r="L710" i="7"/>
  <c r="I710" i="7"/>
  <c r="H710" i="7"/>
  <c r="J710" i="7" s="1"/>
  <c r="G710" i="7"/>
  <c r="L709" i="7"/>
  <c r="J709" i="7"/>
  <c r="G709" i="7"/>
  <c r="L708" i="7"/>
  <c r="J708" i="7"/>
  <c r="G708" i="7"/>
  <c r="E708" i="7"/>
  <c r="L707" i="7"/>
  <c r="I707" i="7"/>
  <c r="H707" i="7"/>
  <c r="J707" i="7" s="1"/>
  <c r="G707" i="7"/>
  <c r="L706" i="7"/>
  <c r="L704" i="7" s="1"/>
  <c r="J706" i="7"/>
  <c r="G706" i="7"/>
  <c r="E706" i="7"/>
  <c r="L705" i="7"/>
  <c r="J705" i="7"/>
  <c r="G705" i="7"/>
  <c r="L702" i="7"/>
  <c r="L701" i="7" s="1"/>
  <c r="J702" i="7"/>
  <c r="G702" i="7"/>
  <c r="C700" i="7"/>
  <c r="E699" i="7"/>
  <c r="G699" i="7"/>
  <c r="D699" i="7"/>
  <c r="C699" i="7"/>
  <c r="AE698" i="7"/>
  <c r="AD698" i="7"/>
  <c r="G697" i="7"/>
  <c r="E697" i="7"/>
  <c r="G696" i="7"/>
  <c r="E696" i="7"/>
  <c r="L693" i="7"/>
  <c r="L692" i="7" s="1"/>
  <c r="AW698" i="7" s="1"/>
  <c r="I693" i="7"/>
  <c r="H693" i="7"/>
  <c r="J693" i="7" s="1"/>
  <c r="G693" i="7"/>
  <c r="L691" i="7"/>
  <c r="J691" i="7"/>
  <c r="G691" i="7"/>
  <c r="E691" i="7"/>
  <c r="L690" i="7"/>
  <c r="I690" i="7"/>
  <c r="H690" i="7"/>
  <c r="J690" i="7" s="1"/>
  <c r="G690" i="7"/>
  <c r="L689" i="7"/>
  <c r="L687" i="7" s="1"/>
  <c r="J689" i="7"/>
  <c r="G689" i="7"/>
  <c r="E689" i="7"/>
  <c r="L688" i="7"/>
  <c r="J688" i="7"/>
  <c r="G688" i="7"/>
  <c r="L685" i="7"/>
  <c r="L684" i="7" s="1"/>
  <c r="J685" i="7"/>
  <c r="G685" i="7"/>
  <c r="E683" i="7"/>
  <c r="G683" i="7"/>
  <c r="D683" i="7"/>
  <c r="C683" i="7"/>
  <c r="AW682" i="7"/>
  <c r="AE682" i="7"/>
  <c r="AD682" i="7"/>
  <c r="G681" i="7"/>
  <c r="E681" i="7"/>
  <c r="G680" i="7"/>
  <c r="E680" i="7"/>
  <c r="L677" i="7"/>
  <c r="J677" i="7"/>
  <c r="G677" i="7"/>
  <c r="E677" i="7"/>
  <c r="L676" i="7"/>
  <c r="J676" i="7"/>
  <c r="G676" i="7"/>
  <c r="L675" i="7"/>
  <c r="J675" i="7"/>
  <c r="G675" i="7"/>
  <c r="E675" i="7"/>
  <c r="L674" i="7"/>
  <c r="I674" i="7"/>
  <c r="H674" i="7"/>
  <c r="J674" i="7" s="1"/>
  <c r="G674" i="7"/>
  <c r="L673" i="7"/>
  <c r="J673" i="7"/>
  <c r="G673" i="7"/>
  <c r="E673" i="7"/>
  <c r="L672" i="7"/>
  <c r="I672" i="7"/>
  <c r="H672" i="7"/>
  <c r="J672" i="7" s="1"/>
  <c r="G672" i="7"/>
  <c r="L671" i="7"/>
  <c r="J671" i="7"/>
  <c r="G671" i="7"/>
  <c r="L670" i="7"/>
  <c r="L668" i="7" s="1"/>
  <c r="J670" i="7"/>
  <c r="G670" i="7"/>
  <c r="E670" i="7"/>
  <c r="L669" i="7"/>
  <c r="J669" i="7"/>
  <c r="G669" i="7"/>
  <c r="L666" i="7"/>
  <c r="J666" i="7"/>
  <c r="G666" i="7"/>
  <c r="L665" i="7"/>
  <c r="J665" i="7"/>
  <c r="G665" i="7"/>
  <c r="L664" i="7"/>
  <c r="J664" i="7"/>
  <c r="G664" i="7"/>
  <c r="L663" i="7"/>
  <c r="L662" i="7" s="1"/>
  <c r="J663" i="7"/>
  <c r="G663" i="7"/>
  <c r="E661" i="7"/>
  <c r="G661" i="7"/>
  <c r="D661" i="7"/>
  <c r="C661" i="7"/>
  <c r="AE660" i="7"/>
  <c r="AD660" i="7"/>
  <c r="G659" i="7"/>
  <c r="E659" i="7"/>
  <c r="G658" i="7"/>
  <c r="E658" i="7"/>
  <c r="L655" i="7"/>
  <c r="I655" i="7"/>
  <c r="H655" i="7"/>
  <c r="J655" i="7" s="1"/>
  <c r="G655" i="7"/>
  <c r="L654" i="7"/>
  <c r="I654" i="7"/>
  <c r="H654" i="7"/>
  <c r="J654" i="7" s="1"/>
  <c r="G654" i="7"/>
  <c r="L653" i="7"/>
  <c r="L652" i="7" s="1"/>
  <c r="AW660" i="7" s="1"/>
  <c r="I653" i="7"/>
  <c r="H653" i="7"/>
  <c r="J653" i="7" s="1"/>
  <c r="G653" i="7"/>
  <c r="L651" i="7"/>
  <c r="J651" i="7"/>
  <c r="G651" i="7"/>
  <c r="L650" i="7"/>
  <c r="J650" i="7"/>
  <c r="G650" i="7"/>
  <c r="E650" i="7"/>
  <c r="L649" i="7"/>
  <c r="I649" i="7"/>
  <c r="H649" i="7"/>
  <c r="J649" i="7" s="1"/>
  <c r="G649" i="7"/>
  <c r="L648" i="7"/>
  <c r="L646" i="7" s="1"/>
  <c r="J648" i="7"/>
  <c r="G648" i="7"/>
  <c r="E648" i="7"/>
  <c r="L647" i="7"/>
  <c r="J647" i="7"/>
  <c r="G647" i="7"/>
  <c r="L644" i="7"/>
  <c r="L643" i="7" s="1"/>
  <c r="J644" i="7"/>
  <c r="G644" i="7"/>
  <c r="C642" i="7"/>
  <c r="E641" i="7"/>
  <c r="G641" i="7"/>
  <c r="D641" i="7"/>
  <c r="C641" i="7"/>
  <c r="AE640" i="7"/>
  <c r="AD640" i="7"/>
  <c r="G639" i="7"/>
  <c r="E639" i="7"/>
  <c r="G638" i="7"/>
  <c r="E638" i="7"/>
  <c r="L635" i="7"/>
  <c r="I635" i="7"/>
  <c r="H635" i="7"/>
  <c r="J635" i="7" s="1"/>
  <c r="G635" i="7"/>
  <c r="L634" i="7"/>
  <c r="I634" i="7"/>
  <c r="H634" i="7"/>
  <c r="J634" i="7" s="1"/>
  <c r="G634" i="7"/>
  <c r="L633" i="7"/>
  <c r="I633" i="7"/>
  <c r="H633" i="7"/>
  <c r="J633" i="7" s="1"/>
  <c r="G633" i="7"/>
  <c r="L632" i="7"/>
  <c r="I632" i="7"/>
  <c r="H632" i="7"/>
  <c r="J632" i="7" s="1"/>
  <c r="G632" i="7"/>
  <c r="L631" i="7"/>
  <c r="I631" i="7"/>
  <c r="H631" i="7"/>
  <c r="J631" i="7" s="1"/>
  <c r="G631" i="7"/>
  <c r="L630" i="7"/>
  <c r="L629" i="7" s="1"/>
  <c r="AW640" i="7" s="1"/>
  <c r="I630" i="7"/>
  <c r="H630" i="7"/>
  <c r="J630" i="7" s="1"/>
  <c r="G630" i="7"/>
  <c r="L628" i="7"/>
  <c r="J628" i="7"/>
  <c r="G628" i="7"/>
  <c r="E628" i="7"/>
  <c r="L627" i="7"/>
  <c r="I627" i="7"/>
  <c r="H627" i="7"/>
  <c r="J627" i="7" s="1"/>
  <c r="G627" i="7"/>
  <c r="L626" i="7"/>
  <c r="L624" i="7" s="1"/>
  <c r="J626" i="7"/>
  <c r="G626" i="7"/>
  <c r="E626" i="7"/>
  <c r="L625" i="7"/>
  <c r="J625" i="7"/>
  <c r="G625" i="7"/>
  <c r="L622" i="7"/>
  <c r="L621" i="7" s="1"/>
  <c r="J622" i="7"/>
  <c r="G622" i="7"/>
  <c r="E620" i="7"/>
  <c r="G620" i="7"/>
  <c r="D620" i="7"/>
  <c r="C620" i="7"/>
  <c r="AE619" i="7"/>
  <c r="AD619" i="7"/>
  <c r="G618" i="7"/>
  <c r="E618" i="7"/>
  <c r="G617" i="7"/>
  <c r="E617" i="7"/>
  <c r="L614" i="7"/>
  <c r="I614" i="7"/>
  <c r="H614" i="7"/>
  <c r="J614" i="7" s="1"/>
  <c r="G614" i="7"/>
  <c r="L613" i="7"/>
  <c r="L612" i="7" s="1"/>
  <c r="AW619" i="7" s="1"/>
  <c r="I613" i="7"/>
  <c r="H613" i="7"/>
  <c r="J613" i="7" s="1"/>
  <c r="G613" i="7"/>
  <c r="L611" i="7"/>
  <c r="J611" i="7"/>
  <c r="G611" i="7"/>
  <c r="E611" i="7"/>
  <c r="L610" i="7"/>
  <c r="I610" i="7"/>
  <c r="H610" i="7"/>
  <c r="J610" i="7" s="1"/>
  <c r="G610" i="7"/>
  <c r="L609" i="7"/>
  <c r="L607" i="7" s="1"/>
  <c r="J609" i="7"/>
  <c r="G609" i="7"/>
  <c r="E609" i="7"/>
  <c r="L608" i="7"/>
  <c r="J608" i="7"/>
  <c r="G608" i="7"/>
  <c r="L605" i="7"/>
  <c r="L604" i="7" s="1"/>
  <c r="J605" i="7"/>
  <c r="G605" i="7"/>
  <c r="E603" i="7"/>
  <c r="G603" i="7"/>
  <c r="D603" i="7"/>
  <c r="C603" i="7"/>
  <c r="AE602" i="7"/>
  <c r="AD602" i="7"/>
  <c r="G601" i="7"/>
  <c r="E601" i="7"/>
  <c r="G600" i="7"/>
  <c r="E600" i="7"/>
  <c r="L597" i="7"/>
  <c r="I597" i="7"/>
  <c r="H597" i="7"/>
  <c r="J597" i="7" s="1"/>
  <c r="G597" i="7"/>
  <c r="L596" i="7"/>
  <c r="I596" i="7"/>
  <c r="H596" i="7"/>
  <c r="J596" i="7" s="1"/>
  <c r="G596" i="7"/>
  <c r="L595" i="7"/>
  <c r="I595" i="7"/>
  <c r="H595" i="7"/>
  <c r="J595" i="7" s="1"/>
  <c r="G595" i="7"/>
  <c r="L594" i="7"/>
  <c r="L593" i="7" s="1"/>
  <c r="AW602" i="7" s="1"/>
  <c r="L796" i="7" s="1"/>
  <c r="L794" i="7" s="1"/>
  <c r="I594" i="7"/>
  <c r="H594" i="7"/>
  <c r="J594" i="7" s="1"/>
  <c r="G594" i="7"/>
  <c r="L592" i="7"/>
  <c r="J592" i="7"/>
  <c r="G592" i="7"/>
  <c r="L591" i="7"/>
  <c r="J591" i="7"/>
  <c r="G591" i="7"/>
  <c r="E591" i="7"/>
  <c r="L590" i="7"/>
  <c r="I590" i="7"/>
  <c r="H590" i="7"/>
  <c r="J590" i="7" s="1"/>
  <c r="G590" i="7"/>
  <c r="L589" i="7"/>
  <c r="L587" i="7" s="1"/>
  <c r="J589" i="7"/>
  <c r="G589" i="7"/>
  <c r="E589" i="7"/>
  <c r="L588" i="7"/>
  <c r="J588" i="7"/>
  <c r="G588" i="7"/>
  <c r="L585" i="7"/>
  <c r="L584" i="7" s="1"/>
  <c r="J585" i="7"/>
  <c r="G585" i="7"/>
  <c r="E583" i="7"/>
  <c r="G583" i="7"/>
  <c r="D583" i="7"/>
  <c r="C583" i="7"/>
  <c r="L577" i="7"/>
  <c r="L576" i="7"/>
  <c r="L573" i="7"/>
  <c r="L571" i="7"/>
  <c r="L570" i="7"/>
  <c r="L568" i="7" s="1"/>
  <c r="L564" i="7"/>
  <c r="L563" i="7"/>
  <c r="L559" i="7"/>
  <c r="AE549" i="7"/>
  <c r="AD549" i="7"/>
  <c r="G548" i="7"/>
  <c r="E548" i="7"/>
  <c r="G547" i="7"/>
  <c r="E547" i="7"/>
  <c r="L544" i="7"/>
  <c r="I544" i="7"/>
  <c r="H544" i="7"/>
  <c r="J544" i="7" s="1"/>
  <c r="G544" i="7"/>
  <c r="F544" i="7"/>
  <c r="L543" i="7"/>
  <c r="I543" i="7"/>
  <c r="H543" i="7"/>
  <c r="J543" i="7" s="1"/>
  <c r="G543" i="7"/>
  <c r="F543" i="7"/>
  <c r="L542" i="7"/>
  <c r="L541" i="7" s="1"/>
  <c r="AW549" i="7" s="1"/>
  <c r="I542" i="7"/>
  <c r="H542" i="7"/>
  <c r="J542" i="7" s="1"/>
  <c r="G542" i="7"/>
  <c r="F542" i="7"/>
  <c r="L540" i="7"/>
  <c r="J540" i="7"/>
  <c r="G540" i="7"/>
  <c r="F540" i="7"/>
  <c r="L539" i="7"/>
  <c r="J539" i="7"/>
  <c r="G539" i="7"/>
  <c r="F539" i="7"/>
  <c r="E539" i="7"/>
  <c r="L538" i="7"/>
  <c r="I538" i="7"/>
  <c r="H538" i="7"/>
  <c r="J538" i="7" s="1"/>
  <c r="G538" i="7"/>
  <c r="F538" i="7"/>
  <c r="L537" i="7"/>
  <c r="L535" i="7" s="1"/>
  <c r="J537" i="7"/>
  <c r="G537" i="7"/>
  <c r="F537" i="7"/>
  <c r="E537" i="7"/>
  <c r="L536" i="7"/>
  <c r="J536" i="7"/>
  <c r="G536" i="7"/>
  <c r="F536" i="7"/>
  <c r="L533" i="7"/>
  <c r="L532" i="7" s="1"/>
  <c r="J533" i="7"/>
  <c r="G533" i="7"/>
  <c r="F533" i="7"/>
  <c r="C531" i="7"/>
  <c r="E529" i="7"/>
  <c r="G529" i="7"/>
  <c r="D529" i="7"/>
  <c r="C529" i="7"/>
  <c r="AE528" i="7"/>
  <c r="AD528" i="7"/>
  <c r="G527" i="7"/>
  <c r="E527" i="7"/>
  <c r="G526" i="7"/>
  <c r="E526" i="7"/>
  <c r="L523" i="7"/>
  <c r="I523" i="7"/>
  <c r="H523" i="7"/>
  <c r="J523" i="7" s="1"/>
  <c r="G523" i="7"/>
  <c r="F523" i="7"/>
  <c r="L522" i="7"/>
  <c r="L521" i="7" s="1"/>
  <c r="AW528" i="7" s="1"/>
  <c r="I522" i="7"/>
  <c r="H522" i="7"/>
  <c r="J522" i="7" s="1"/>
  <c r="G522" i="7"/>
  <c r="F522" i="7"/>
  <c r="L520" i="7"/>
  <c r="J520" i="7"/>
  <c r="G520" i="7"/>
  <c r="F520" i="7"/>
  <c r="L519" i="7"/>
  <c r="J519" i="7"/>
  <c r="G519" i="7"/>
  <c r="F519" i="7"/>
  <c r="E519" i="7"/>
  <c r="L518" i="7"/>
  <c r="I518" i="7"/>
  <c r="H518" i="7"/>
  <c r="J518" i="7" s="1"/>
  <c r="G518" i="7"/>
  <c r="F518" i="7"/>
  <c r="L517" i="7"/>
  <c r="L515" i="7" s="1"/>
  <c r="J517" i="7"/>
  <c r="G517" i="7"/>
  <c r="F517" i="7"/>
  <c r="E517" i="7"/>
  <c r="L516" i="7"/>
  <c r="J516" i="7"/>
  <c r="G516" i="7"/>
  <c r="F516" i="7"/>
  <c r="L513" i="7"/>
  <c r="L512" i="7" s="1"/>
  <c r="J513" i="7"/>
  <c r="G513" i="7"/>
  <c r="F513" i="7"/>
  <c r="C511" i="7"/>
  <c r="E509" i="7"/>
  <c r="G509" i="7"/>
  <c r="D509" i="7"/>
  <c r="C509" i="7"/>
  <c r="AE508" i="7"/>
  <c r="AD508" i="7"/>
  <c r="G507" i="7"/>
  <c r="E507" i="7"/>
  <c r="G506" i="7"/>
  <c r="E506" i="7"/>
  <c r="L503" i="7"/>
  <c r="L502" i="7" s="1"/>
  <c r="AW508" i="7" s="1"/>
  <c r="I503" i="7"/>
  <c r="H503" i="7"/>
  <c r="J503" i="7" s="1"/>
  <c r="G503" i="7"/>
  <c r="F503" i="7"/>
  <c r="L501" i="7"/>
  <c r="J501" i="7"/>
  <c r="G501" i="7"/>
  <c r="F501" i="7"/>
  <c r="E501" i="7"/>
  <c r="L500" i="7"/>
  <c r="I500" i="7"/>
  <c r="H500" i="7"/>
  <c r="J500" i="7" s="1"/>
  <c r="G500" i="7"/>
  <c r="F500" i="7"/>
  <c r="L499" i="7"/>
  <c r="L497" i="7" s="1"/>
  <c r="J499" i="7"/>
  <c r="G499" i="7"/>
  <c r="F499" i="7"/>
  <c r="E499" i="7"/>
  <c r="L498" i="7"/>
  <c r="J498" i="7"/>
  <c r="G498" i="7"/>
  <c r="F498" i="7"/>
  <c r="L495" i="7"/>
  <c r="L494" i="7" s="1"/>
  <c r="J495" i="7"/>
  <c r="G495" i="7"/>
  <c r="F495" i="7"/>
  <c r="E492" i="7"/>
  <c r="G492" i="7"/>
  <c r="D492" i="7"/>
  <c r="C492" i="7"/>
  <c r="AW491" i="7"/>
  <c r="AE491" i="7"/>
  <c r="AD491" i="7"/>
  <c r="G490" i="7"/>
  <c r="E490" i="7"/>
  <c r="G489" i="7"/>
  <c r="E489" i="7"/>
  <c r="L486" i="7"/>
  <c r="J486" i="7"/>
  <c r="G486" i="7"/>
  <c r="F486" i="7"/>
  <c r="E486" i="7"/>
  <c r="L485" i="7"/>
  <c r="J485" i="7"/>
  <c r="G485" i="7"/>
  <c r="F485" i="7"/>
  <c r="L484" i="7"/>
  <c r="J484" i="7"/>
  <c r="G484" i="7"/>
  <c r="F484" i="7"/>
  <c r="E484" i="7"/>
  <c r="L483" i="7"/>
  <c r="I483" i="7"/>
  <c r="H483" i="7"/>
  <c r="J483" i="7" s="1"/>
  <c r="G483" i="7"/>
  <c r="F483" i="7"/>
  <c r="L482" i="7"/>
  <c r="J482" i="7"/>
  <c r="G482" i="7"/>
  <c r="F482" i="7"/>
  <c r="E482" i="7"/>
  <c r="L481" i="7"/>
  <c r="I481" i="7"/>
  <c r="H481" i="7"/>
  <c r="J481" i="7" s="1"/>
  <c r="G481" i="7"/>
  <c r="F481" i="7"/>
  <c r="L480" i="7"/>
  <c r="J480" i="7"/>
  <c r="G480" i="7"/>
  <c r="F480" i="7"/>
  <c r="L479" i="7"/>
  <c r="L477" i="7" s="1"/>
  <c r="J479" i="7"/>
  <c r="G479" i="7"/>
  <c r="F479" i="7"/>
  <c r="E479" i="7"/>
  <c r="L478" i="7"/>
  <c r="J478" i="7"/>
  <c r="G478" i="7"/>
  <c r="F478" i="7"/>
  <c r="L475" i="7"/>
  <c r="J475" i="7"/>
  <c r="G475" i="7"/>
  <c r="F475" i="7"/>
  <c r="L474" i="7"/>
  <c r="J474" i="7"/>
  <c r="G474" i="7"/>
  <c r="F474" i="7"/>
  <c r="L473" i="7"/>
  <c r="J473" i="7"/>
  <c r="G473" i="7"/>
  <c r="F473" i="7"/>
  <c r="L472" i="7"/>
  <c r="L471" i="7" s="1"/>
  <c r="J472" i="7"/>
  <c r="G472" i="7"/>
  <c r="F472" i="7"/>
  <c r="E469" i="7"/>
  <c r="G469" i="7"/>
  <c r="D469" i="7"/>
  <c r="C469" i="7"/>
  <c r="AE468" i="7"/>
  <c r="AD468" i="7"/>
  <c r="G467" i="7"/>
  <c r="E467" i="7"/>
  <c r="G466" i="7"/>
  <c r="E466" i="7"/>
  <c r="L463" i="7"/>
  <c r="I463" i="7"/>
  <c r="H463" i="7"/>
  <c r="J463" i="7" s="1"/>
  <c r="G463" i="7"/>
  <c r="F463" i="7"/>
  <c r="L462" i="7"/>
  <c r="I462" i="7"/>
  <c r="H462" i="7"/>
  <c r="J462" i="7" s="1"/>
  <c r="G462" i="7"/>
  <c r="F462" i="7"/>
  <c r="L461" i="7"/>
  <c r="I461" i="7"/>
  <c r="H461" i="7"/>
  <c r="J461" i="7" s="1"/>
  <c r="G461" i="7"/>
  <c r="F461" i="7"/>
  <c r="L460" i="7"/>
  <c r="I460" i="7"/>
  <c r="H460" i="7"/>
  <c r="J460" i="7" s="1"/>
  <c r="G460" i="7"/>
  <c r="F460" i="7"/>
  <c r="L459" i="7"/>
  <c r="I459" i="7"/>
  <c r="H459" i="7"/>
  <c r="J459" i="7" s="1"/>
  <c r="G459" i="7"/>
  <c r="F459" i="7"/>
  <c r="L458" i="7"/>
  <c r="L457" i="7" s="1"/>
  <c r="AW468" i="7" s="1"/>
  <c r="I458" i="7"/>
  <c r="H458" i="7"/>
  <c r="J458" i="7" s="1"/>
  <c r="G458" i="7"/>
  <c r="F458" i="7"/>
  <c r="L456" i="7"/>
  <c r="J456" i="7"/>
  <c r="G456" i="7"/>
  <c r="F456" i="7"/>
  <c r="E456" i="7"/>
  <c r="L455" i="7"/>
  <c r="I455" i="7"/>
  <c r="H455" i="7"/>
  <c r="J455" i="7" s="1"/>
  <c r="G455" i="7"/>
  <c r="F455" i="7"/>
  <c r="L454" i="7"/>
  <c r="L452" i="7" s="1"/>
  <c r="J454" i="7"/>
  <c r="G454" i="7"/>
  <c r="F454" i="7"/>
  <c r="E454" i="7"/>
  <c r="L453" i="7"/>
  <c r="J453" i="7"/>
  <c r="G453" i="7"/>
  <c r="F453" i="7"/>
  <c r="L450" i="7"/>
  <c r="L449" i="7" s="1"/>
  <c r="J450" i="7"/>
  <c r="G450" i="7"/>
  <c r="F450" i="7"/>
  <c r="E447" i="7"/>
  <c r="G447" i="7"/>
  <c r="D447" i="7"/>
  <c r="C447" i="7"/>
  <c r="AE446" i="7"/>
  <c r="AD446" i="7"/>
  <c r="G445" i="7"/>
  <c r="E445" i="7"/>
  <c r="G444" i="7"/>
  <c r="E444" i="7"/>
  <c r="L441" i="7"/>
  <c r="I441" i="7"/>
  <c r="H441" i="7"/>
  <c r="J441" i="7" s="1"/>
  <c r="G441" i="7"/>
  <c r="F441" i="7"/>
  <c r="L440" i="7"/>
  <c r="L439" i="7" s="1"/>
  <c r="AW446" i="7" s="1"/>
  <c r="I440" i="7"/>
  <c r="H440" i="7"/>
  <c r="J440" i="7" s="1"/>
  <c r="G440" i="7"/>
  <c r="F440" i="7"/>
  <c r="L438" i="7"/>
  <c r="J438" i="7"/>
  <c r="G438" i="7"/>
  <c r="F438" i="7"/>
  <c r="E438" i="7"/>
  <c r="L437" i="7"/>
  <c r="I437" i="7"/>
  <c r="H437" i="7"/>
  <c r="J437" i="7" s="1"/>
  <c r="G437" i="7"/>
  <c r="F437" i="7"/>
  <c r="L436" i="7"/>
  <c r="L434" i="7" s="1"/>
  <c r="J436" i="7"/>
  <c r="G436" i="7"/>
  <c r="F436" i="7"/>
  <c r="E436" i="7"/>
  <c r="L435" i="7"/>
  <c r="J435" i="7"/>
  <c r="G435" i="7"/>
  <c r="F435" i="7"/>
  <c r="L432" i="7"/>
  <c r="L431" i="7" s="1"/>
  <c r="J432" i="7"/>
  <c r="G432" i="7"/>
  <c r="F432" i="7"/>
  <c r="E429" i="7"/>
  <c r="G429" i="7"/>
  <c r="D429" i="7"/>
  <c r="C429" i="7"/>
  <c r="AE428" i="7"/>
  <c r="AD428" i="7"/>
  <c r="G427" i="7"/>
  <c r="E427" i="7"/>
  <c r="G426" i="7"/>
  <c r="E426" i="7"/>
  <c r="L423" i="7"/>
  <c r="I423" i="7"/>
  <c r="H423" i="7"/>
  <c r="J423" i="7" s="1"/>
  <c r="G423" i="7"/>
  <c r="F423" i="7"/>
  <c r="L422" i="7"/>
  <c r="I422" i="7"/>
  <c r="H422" i="7"/>
  <c r="J422" i="7" s="1"/>
  <c r="G422" i="7"/>
  <c r="F422" i="7"/>
  <c r="L421" i="7"/>
  <c r="I421" i="7"/>
  <c r="H421" i="7"/>
  <c r="J421" i="7" s="1"/>
  <c r="G421" i="7"/>
  <c r="F421" i="7"/>
  <c r="L420" i="7"/>
  <c r="L419" i="7" s="1"/>
  <c r="AW428" i="7" s="1"/>
  <c r="I420" i="7"/>
  <c r="H420" i="7"/>
  <c r="J420" i="7" s="1"/>
  <c r="G420" i="7"/>
  <c r="F420" i="7"/>
  <c r="L418" i="7"/>
  <c r="J418" i="7"/>
  <c r="G418" i="7"/>
  <c r="F418" i="7"/>
  <c r="L417" i="7"/>
  <c r="J417" i="7"/>
  <c r="G417" i="7"/>
  <c r="F417" i="7"/>
  <c r="E417" i="7"/>
  <c r="L416" i="7"/>
  <c r="I416" i="7"/>
  <c r="H416" i="7"/>
  <c r="J416" i="7" s="1"/>
  <c r="G416" i="7"/>
  <c r="F416" i="7"/>
  <c r="L415" i="7"/>
  <c r="L413" i="7" s="1"/>
  <c r="J415" i="7"/>
  <c r="G415" i="7"/>
  <c r="F415" i="7"/>
  <c r="E415" i="7"/>
  <c r="L414" i="7"/>
  <c r="J414" i="7"/>
  <c r="G414" i="7"/>
  <c r="F414" i="7"/>
  <c r="L411" i="7"/>
  <c r="L410" i="7" s="1"/>
  <c r="J411" i="7"/>
  <c r="G411" i="7"/>
  <c r="F411" i="7"/>
  <c r="E408" i="7"/>
  <c r="G408" i="7"/>
  <c r="D408" i="7"/>
  <c r="C408" i="7"/>
  <c r="L402" i="7"/>
  <c r="L401" i="7"/>
  <c r="L398" i="7"/>
  <c r="L396" i="7"/>
  <c r="L395" i="7"/>
  <c r="L393" i="7" s="1"/>
  <c r="L389" i="7"/>
  <c r="L388" i="7"/>
  <c r="L384" i="7"/>
  <c r="AW374" i="7"/>
  <c r="AT374" i="7"/>
  <c r="AR374" i="7"/>
  <c r="AO374" i="7"/>
  <c r="AN374" i="7"/>
  <c r="BA374" i="7"/>
  <c r="AZ374" i="7"/>
  <c r="AE374" i="7"/>
  <c r="AD374" i="7"/>
  <c r="K374" i="7"/>
  <c r="E373" i="7"/>
  <c r="I374" i="7" s="1"/>
  <c r="G373" i="7"/>
  <c r="D373" i="7"/>
  <c r="C373" i="7"/>
  <c r="AW372" i="7"/>
  <c r="AE372" i="7"/>
  <c r="AD372" i="7"/>
  <c r="G371" i="7"/>
  <c r="E371" i="7"/>
  <c r="G370" i="7"/>
  <c r="E370" i="7"/>
  <c r="L367" i="7"/>
  <c r="L365" i="7" s="1"/>
  <c r="J367" i="7"/>
  <c r="G367" i="7"/>
  <c r="E367" i="7"/>
  <c r="L366" i="7"/>
  <c r="I366" i="7"/>
  <c r="H366" i="7"/>
  <c r="J366" i="7" s="1"/>
  <c r="G366" i="7"/>
  <c r="L363" i="7"/>
  <c r="L362" i="7" s="1"/>
  <c r="J363" i="7"/>
  <c r="G363" i="7"/>
  <c r="C361" i="7"/>
  <c r="E360" i="7"/>
  <c r="G360" i="7"/>
  <c r="D360" i="7"/>
  <c r="C360" i="7"/>
  <c r="AT359" i="7"/>
  <c r="AO359" i="7"/>
  <c r="AE359" i="7"/>
  <c r="AD359" i="7"/>
  <c r="G358" i="7"/>
  <c r="E358" i="7"/>
  <c r="G357" i="7"/>
  <c r="E357" i="7"/>
  <c r="L354" i="7"/>
  <c r="AW359" i="7" s="1"/>
  <c r="L353" i="7"/>
  <c r="L352" i="7" s="1"/>
  <c r="J353" i="7"/>
  <c r="G353" i="7"/>
  <c r="C351" i="7"/>
  <c r="E350" i="7"/>
  <c r="G350" i="7"/>
  <c r="D350" i="7"/>
  <c r="C350" i="7"/>
  <c r="AW349" i="7"/>
  <c r="AT349" i="7"/>
  <c r="AR349" i="7"/>
  <c r="AO349" i="7"/>
  <c r="AN349" i="7"/>
  <c r="BA349" i="7"/>
  <c r="AZ349" i="7"/>
  <c r="AE349" i="7"/>
  <c r="AD349" i="7"/>
  <c r="K349" i="7"/>
  <c r="E348" i="7"/>
  <c r="I349" i="7" s="1"/>
  <c r="G348" i="7"/>
  <c r="D348" i="7"/>
  <c r="C348" i="7"/>
  <c r="AW347" i="7"/>
  <c r="AE347" i="7"/>
  <c r="AD347" i="7"/>
  <c r="G346" i="7"/>
  <c r="E346" i="7"/>
  <c r="G345" i="7"/>
  <c r="E345" i="7"/>
  <c r="L342" i="7"/>
  <c r="L340" i="7" s="1"/>
  <c r="J342" i="7"/>
  <c r="G342" i="7"/>
  <c r="E342" i="7"/>
  <c r="L341" i="7"/>
  <c r="I341" i="7"/>
  <c r="H341" i="7"/>
  <c r="J341" i="7" s="1"/>
  <c r="G341" i="7"/>
  <c r="L338" i="7"/>
  <c r="L337" i="7" s="1"/>
  <c r="J338" i="7"/>
  <c r="G338" i="7"/>
  <c r="C336" i="7"/>
  <c r="E335" i="7"/>
  <c r="G335" i="7"/>
  <c r="D335" i="7"/>
  <c r="C335" i="7"/>
  <c r="AE334" i="7"/>
  <c r="AD334" i="7"/>
  <c r="G333" i="7"/>
  <c r="E333" i="7"/>
  <c r="G332" i="7"/>
  <c r="E332" i="7"/>
  <c r="L329" i="7"/>
  <c r="I329" i="7"/>
  <c r="H329" i="7"/>
  <c r="J329" i="7" s="1"/>
  <c r="G329" i="7"/>
  <c r="L328" i="7"/>
  <c r="L327" i="7" s="1"/>
  <c r="AW334" i="7" s="1"/>
  <c r="I328" i="7"/>
  <c r="H328" i="7"/>
  <c r="J328" i="7" s="1"/>
  <c r="G328" i="7"/>
  <c r="L326" i="7"/>
  <c r="J326" i="7"/>
  <c r="G326" i="7"/>
  <c r="L325" i="7"/>
  <c r="J325" i="7"/>
  <c r="G325" i="7"/>
  <c r="E325" i="7"/>
  <c r="L324" i="7"/>
  <c r="I324" i="7"/>
  <c r="H324" i="7"/>
  <c r="J324" i="7" s="1"/>
  <c r="G324" i="7"/>
  <c r="L323" i="7"/>
  <c r="L320" i="7" s="1"/>
  <c r="J323" i="7"/>
  <c r="G323" i="7"/>
  <c r="E323" i="7"/>
  <c r="L322" i="7"/>
  <c r="J322" i="7"/>
  <c r="G322" i="7"/>
  <c r="L321" i="7"/>
  <c r="I321" i="7"/>
  <c r="H321" i="7"/>
  <c r="J321" i="7" s="1"/>
  <c r="G321" i="7"/>
  <c r="L318" i="7"/>
  <c r="L317" i="7" s="1"/>
  <c r="J318" i="7"/>
  <c r="G318" i="7"/>
  <c r="C316" i="7"/>
  <c r="E315" i="7"/>
  <c r="G315" i="7"/>
  <c r="D315" i="7"/>
  <c r="C315" i="7"/>
  <c r="AE314" i="7"/>
  <c r="AD314" i="7"/>
  <c r="G313" i="7"/>
  <c r="E313" i="7"/>
  <c r="G312" i="7"/>
  <c r="E312" i="7"/>
  <c r="L309" i="7"/>
  <c r="I309" i="7"/>
  <c r="H309" i="7"/>
  <c r="J309" i="7" s="1"/>
  <c r="G309" i="7"/>
  <c r="L308" i="7"/>
  <c r="L307" i="7" s="1"/>
  <c r="AW314" i="7" s="1"/>
  <c r="I308" i="7"/>
  <c r="H308" i="7"/>
  <c r="J308" i="7" s="1"/>
  <c r="G308" i="7"/>
  <c r="L306" i="7"/>
  <c r="J306" i="7"/>
  <c r="G306" i="7"/>
  <c r="L305" i="7"/>
  <c r="J305" i="7"/>
  <c r="G305" i="7"/>
  <c r="E305" i="7"/>
  <c r="L304" i="7"/>
  <c r="I304" i="7"/>
  <c r="H304" i="7"/>
  <c r="J304" i="7" s="1"/>
  <c r="G304" i="7"/>
  <c r="L303" i="7"/>
  <c r="L300" i="7" s="1"/>
  <c r="J303" i="7"/>
  <c r="G303" i="7"/>
  <c r="E303" i="7"/>
  <c r="L302" i="7"/>
  <c r="J302" i="7"/>
  <c r="G302" i="7"/>
  <c r="L301" i="7"/>
  <c r="I301" i="7"/>
  <c r="H301" i="7"/>
  <c r="J301" i="7" s="1"/>
  <c r="G301" i="7"/>
  <c r="L298" i="7"/>
  <c r="L297" i="7" s="1"/>
  <c r="J298" i="7"/>
  <c r="G298" i="7"/>
  <c r="C296" i="7"/>
  <c r="E295" i="7"/>
  <c r="G295" i="7"/>
  <c r="D295" i="7"/>
  <c r="C295" i="7"/>
  <c r="AE294" i="7"/>
  <c r="AD294" i="7"/>
  <c r="G293" i="7"/>
  <c r="E293" i="7"/>
  <c r="G292" i="7"/>
  <c r="E292" i="7"/>
  <c r="L289" i="7"/>
  <c r="I289" i="7"/>
  <c r="H289" i="7"/>
  <c r="J289" i="7" s="1"/>
  <c r="G289" i="7"/>
  <c r="L288" i="7"/>
  <c r="L287" i="7" s="1"/>
  <c r="AW294" i="7" s="1"/>
  <c r="I288" i="7"/>
  <c r="H288" i="7"/>
  <c r="J288" i="7" s="1"/>
  <c r="G288" i="7"/>
  <c r="L286" i="7"/>
  <c r="J286" i="7"/>
  <c r="G286" i="7"/>
  <c r="E286" i="7"/>
  <c r="L285" i="7"/>
  <c r="I285" i="7"/>
  <c r="H285" i="7"/>
  <c r="J285" i="7" s="1"/>
  <c r="G285" i="7"/>
  <c r="L284" i="7"/>
  <c r="L281" i="7" s="1"/>
  <c r="J284" i="7"/>
  <c r="G284" i="7"/>
  <c r="E284" i="7"/>
  <c r="L283" i="7"/>
  <c r="J283" i="7"/>
  <c r="G283" i="7"/>
  <c r="L282" i="7"/>
  <c r="I282" i="7"/>
  <c r="H282" i="7"/>
  <c r="J282" i="7" s="1"/>
  <c r="G282" i="7"/>
  <c r="L279" i="7"/>
  <c r="L278" i="7" s="1"/>
  <c r="J279" i="7"/>
  <c r="G279" i="7"/>
  <c r="C277" i="7"/>
  <c r="E276" i="7"/>
  <c r="G276" i="7"/>
  <c r="D276" i="7"/>
  <c r="C276" i="7"/>
  <c r="AE275" i="7"/>
  <c r="AD275" i="7"/>
  <c r="G274" i="7"/>
  <c r="E274" i="7"/>
  <c r="G273" i="7"/>
  <c r="E273" i="7"/>
  <c r="L270" i="7"/>
  <c r="L269" i="7" s="1"/>
  <c r="AW275" i="7" s="1"/>
  <c r="I270" i="7"/>
  <c r="H270" i="7"/>
  <c r="J270" i="7" s="1"/>
  <c r="G270" i="7"/>
  <c r="L268" i="7"/>
  <c r="L265" i="7" s="1"/>
  <c r="J268" i="7"/>
  <c r="G268" i="7"/>
  <c r="E268" i="7"/>
  <c r="L267" i="7"/>
  <c r="I267" i="7"/>
  <c r="H267" i="7"/>
  <c r="J267" i="7" s="1"/>
  <c r="G267" i="7"/>
  <c r="L266" i="7"/>
  <c r="I266" i="7"/>
  <c r="H266" i="7"/>
  <c r="J266" i="7" s="1"/>
  <c r="G266" i="7"/>
  <c r="L263" i="7"/>
  <c r="L262" i="7" s="1"/>
  <c r="J263" i="7"/>
  <c r="G263" i="7"/>
  <c r="C261" i="7"/>
  <c r="E260" i="7"/>
  <c r="G260" i="7"/>
  <c r="D260" i="7"/>
  <c r="C260" i="7"/>
  <c r="AE259" i="7"/>
  <c r="AD259" i="7"/>
  <c r="G258" i="7"/>
  <c r="E258" i="7"/>
  <c r="G257" i="7"/>
  <c r="E257" i="7"/>
  <c r="BA255" i="7"/>
  <c r="AZ255" i="7"/>
  <c r="AE255" i="7"/>
  <c r="AD255" i="7"/>
  <c r="L255" i="7"/>
  <c r="H255" i="7"/>
  <c r="E255" i="7"/>
  <c r="G255" i="7"/>
  <c r="D255" i="7"/>
  <c r="C255" i="7"/>
  <c r="B255" i="7"/>
  <c r="L253" i="7"/>
  <c r="I253" i="7"/>
  <c r="H253" i="7"/>
  <c r="J253" i="7" s="1"/>
  <c r="G253" i="7"/>
  <c r="L252" i="7"/>
  <c r="I252" i="7"/>
  <c r="H252" i="7"/>
  <c r="J252" i="7" s="1"/>
  <c r="G252" i="7"/>
  <c r="L251" i="7"/>
  <c r="I251" i="7"/>
  <c r="H251" i="7"/>
  <c r="J251" i="7" s="1"/>
  <c r="G251" i="7"/>
  <c r="L250" i="7"/>
  <c r="I250" i="7"/>
  <c r="H250" i="7"/>
  <c r="J250" i="7" s="1"/>
  <c r="G250" i="7"/>
  <c r="L249" i="7"/>
  <c r="I249" i="7"/>
  <c r="H249" i="7"/>
  <c r="J249" i="7" s="1"/>
  <c r="G249" i="7"/>
  <c r="L248" i="7"/>
  <c r="I248" i="7"/>
  <c r="H248" i="7"/>
  <c r="J248" i="7" s="1"/>
  <c r="G248" i="7"/>
  <c r="L247" i="7"/>
  <c r="I247" i="7"/>
  <c r="H247" i="7"/>
  <c r="J247" i="7" s="1"/>
  <c r="G247" i="7"/>
  <c r="L246" i="7"/>
  <c r="I246" i="7"/>
  <c r="H246" i="7"/>
  <c r="J246" i="7" s="1"/>
  <c r="G246" i="7"/>
  <c r="L245" i="7"/>
  <c r="I245" i="7"/>
  <c r="H245" i="7"/>
  <c r="J245" i="7" s="1"/>
  <c r="G245" i="7"/>
  <c r="L244" i="7"/>
  <c r="I244" i="7"/>
  <c r="H244" i="7"/>
  <c r="J244" i="7" s="1"/>
  <c r="G244" i="7"/>
  <c r="L243" i="7"/>
  <c r="I243" i="7"/>
  <c r="H243" i="7"/>
  <c r="J243" i="7" s="1"/>
  <c r="G243" i="7"/>
  <c r="L242" i="7"/>
  <c r="I242" i="7"/>
  <c r="H242" i="7"/>
  <c r="J242" i="7" s="1"/>
  <c r="G242" i="7"/>
  <c r="L241" i="7"/>
  <c r="L240" i="7" s="1"/>
  <c r="AW259" i="7" s="1"/>
  <c r="I241" i="7"/>
  <c r="H241" i="7"/>
  <c r="J241" i="7" s="1"/>
  <c r="G241" i="7"/>
  <c r="L239" i="7"/>
  <c r="J239" i="7"/>
  <c r="G239" i="7"/>
  <c r="L238" i="7"/>
  <c r="I238" i="7"/>
  <c r="H238" i="7"/>
  <c r="J238" i="7" s="1"/>
  <c r="G238" i="7"/>
  <c r="L237" i="7"/>
  <c r="J237" i="7"/>
  <c r="G237" i="7"/>
  <c r="E237" i="7"/>
  <c r="L236" i="7"/>
  <c r="I236" i="7"/>
  <c r="H236" i="7"/>
  <c r="J236" i="7" s="1"/>
  <c r="G236" i="7"/>
  <c r="L235" i="7"/>
  <c r="J235" i="7"/>
  <c r="G235" i="7"/>
  <c r="E235" i="7"/>
  <c r="L234" i="7"/>
  <c r="I234" i="7"/>
  <c r="H234" i="7"/>
  <c r="J234" i="7" s="1"/>
  <c r="G234" i="7"/>
  <c r="L233" i="7"/>
  <c r="J233" i="7"/>
  <c r="G233" i="7"/>
  <c r="E233" i="7"/>
  <c r="L232" i="7"/>
  <c r="J232" i="7"/>
  <c r="G232" i="7"/>
  <c r="L231" i="7"/>
  <c r="L229" i="7" s="1"/>
  <c r="J231" i="7"/>
  <c r="G231" i="7"/>
  <c r="E231" i="7"/>
  <c r="L230" i="7"/>
  <c r="I230" i="7"/>
  <c r="H230" i="7"/>
  <c r="J230" i="7" s="1"/>
  <c r="G230" i="7"/>
  <c r="L227" i="7"/>
  <c r="L226" i="7" s="1"/>
  <c r="J227" i="7"/>
  <c r="G227" i="7"/>
  <c r="E225" i="7"/>
  <c r="G225" i="7"/>
  <c r="D225" i="7"/>
  <c r="C225" i="7"/>
  <c r="AE224" i="7"/>
  <c r="AD224" i="7"/>
  <c r="G223" i="7"/>
  <c r="E223" i="7"/>
  <c r="G222" i="7"/>
  <c r="E222" i="7"/>
  <c r="BA220" i="7"/>
  <c r="AZ220" i="7"/>
  <c r="AE220" i="7"/>
  <c r="AD220" i="7"/>
  <c r="L220" i="7"/>
  <c r="I220" i="7"/>
  <c r="H220" i="7"/>
  <c r="J220" i="7" s="1"/>
  <c r="E220" i="7"/>
  <c r="G220" i="7"/>
  <c r="D220" i="7"/>
  <c r="C220" i="7"/>
  <c r="B220" i="7"/>
  <c r="L218" i="7"/>
  <c r="L217" i="7" s="1"/>
  <c r="AW224" i="7" s="1"/>
  <c r="I218" i="7"/>
  <c r="H218" i="7"/>
  <c r="J218" i="7" s="1"/>
  <c r="G218" i="7"/>
  <c r="L216" i="7"/>
  <c r="J216" i="7"/>
  <c r="G216" i="7"/>
  <c r="E216" i="7"/>
  <c r="L215" i="7"/>
  <c r="I215" i="7"/>
  <c r="H215" i="7"/>
  <c r="J215" i="7" s="1"/>
  <c r="G215" i="7"/>
  <c r="L214" i="7"/>
  <c r="J214" i="7"/>
  <c r="G214" i="7"/>
  <c r="E214" i="7"/>
  <c r="L213" i="7"/>
  <c r="I213" i="7"/>
  <c r="H213" i="7"/>
  <c r="J213" i="7" s="1"/>
  <c r="G213" i="7"/>
  <c r="L212" i="7"/>
  <c r="L210" i="7" s="1"/>
  <c r="J212" i="7"/>
  <c r="G212" i="7"/>
  <c r="E212" i="7"/>
  <c r="L211" i="7"/>
  <c r="J211" i="7"/>
  <c r="G211" i="7"/>
  <c r="L208" i="7"/>
  <c r="L207" i="7" s="1"/>
  <c r="J208" i="7"/>
  <c r="G208" i="7"/>
  <c r="C206" i="7"/>
  <c r="E205" i="7"/>
  <c r="G205" i="7"/>
  <c r="D205" i="7"/>
  <c r="C205" i="7"/>
  <c r="AE204" i="7"/>
  <c r="AD204" i="7"/>
  <c r="G203" i="7"/>
  <c r="E203" i="7"/>
  <c r="G202" i="7"/>
  <c r="E202" i="7"/>
  <c r="BA200" i="7"/>
  <c r="AZ200" i="7"/>
  <c r="AE200" i="7"/>
  <c r="AD200" i="7"/>
  <c r="L200" i="7"/>
  <c r="I200" i="7"/>
  <c r="H200" i="7"/>
  <c r="J200" i="7" s="1"/>
  <c r="E200" i="7"/>
  <c r="G200" i="7"/>
  <c r="D200" i="7"/>
  <c r="C200" i="7"/>
  <c r="B200" i="7"/>
  <c r="L198" i="7"/>
  <c r="L197" i="7" s="1"/>
  <c r="AW204" i="7" s="1"/>
  <c r="I198" i="7"/>
  <c r="H198" i="7"/>
  <c r="J198" i="7" s="1"/>
  <c r="G198" i="7"/>
  <c r="L196" i="7"/>
  <c r="J196" i="7"/>
  <c r="G196" i="7"/>
  <c r="E196" i="7"/>
  <c r="L195" i="7"/>
  <c r="I195" i="7"/>
  <c r="H195" i="7"/>
  <c r="J195" i="7" s="1"/>
  <c r="G195" i="7"/>
  <c r="L194" i="7"/>
  <c r="J194" i="7"/>
  <c r="G194" i="7"/>
  <c r="E194" i="7"/>
  <c r="L193" i="7"/>
  <c r="I193" i="7"/>
  <c r="H193" i="7"/>
  <c r="J193" i="7" s="1"/>
  <c r="G193" i="7"/>
  <c r="L192" i="7"/>
  <c r="L190" i="7" s="1"/>
  <c r="J192" i="7"/>
  <c r="G192" i="7"/>
  <c r="E192" i="7"/>
  <c r="L191" i="7"/>
  <c r="J191" i="7"/>
  <c r="G191" i="7"/>
  <c r="L188" i="7"/>
  <c r="L187" i="7" s="1"/>
  <c r="J188" i="7"/>
  <c r="G188" i="7"/>
  <c r="C186" i="7"/>
  <c r="E185" i="7"/>
  <c r="G185" i="7"/>
  <c r="D185" i="7"/>
  <c r="C185" i="7"/>
  <c r="AE184" i="7"/>
  <c r="AD184" i="7"/>
  <c r="G183" i="7"/>
  <c r="E183" i="7"/>
  <c r="G182" i="7"/>
  <c r="E182" i="7"/>
  <c r="BA180" i="7"/>
  <c r="AZ180" i="7"/>
  <c r="AE180" i="7"/>
  <c r="AD180" i="7"/>
  <c r="L180" i="7"/>
  <c r="I180" i="7"/>
  <c r="H180" i="7"/>
  <c r="J180" i="7" s="1"/>
  <c r="E180" i="7"/>
  <c r="G180" i="7"/>
  <c r="D180" i="7"/>
  <c r="C180" i="7"/>
  <c r="B180" i="7"/>
  <c r="L178" i="7"/>
  <c r="L177" i="7" s="1"/>
  <c r="AW184" i="7" s="1"/>
  <c r="I178" i="7"/>
  <c r="H178" i="7"/>
  <c r="J178" i="7" s="1"/>
  <c r="G178" i="7"/>
  <c r="L176" i="7"/>
  <c r="J176" i="7"/>
  <c r="G176" i="7"/>
  <c r="L175" i="7"/>
  <c r="L173" i="7" s="1"/>
  <c r="J175" i="7"/>
  <c r="G175" i="7"/>
  <c r="E175" i="7"/>
  <c r="L174" i="7"/>
  <c r="J174" i="7"/>
  <c r="G174" i="7"/>
  <c r="L171" i="7"/>
  <c r="L170" i="7" s="1"/>
  <c r="J171" i="7"/>
  <c r="G171" i="7"/>
  <c r="E169" i="7"/>
  <c r="G169" i="7"/>
  <c r="D169" i="7"/>
  <c r="C169" i="7"/>
  <c r="AE168" i="7"/>
  <c r="AD168" i="7"/>
  <c r="G167" i="7"/>
  <c r="E167" i="7"/>
  <c r="G166" i="7"/>
  <c r="E166" i="7"/>
  <c r="BA164" i="7"/>
  <c r="AZ164" i="7"/>
  <c r="AE164" i="7"/>
  <c r="AD164" i="7"/>
  <c r="L164" i="7"/>
  <c r="I164" i="7"/>
  <c r="H164" i="7"/>
  <c r="J164" i="7" s="1"/>
  <c r="E164" i="7"/>
  <c r="G164" i="7"/>
  <c r="D164" i="7"/>
  <c r="C164" i="7"/>
  <c r="B164" i="7"/>
  <c r="L162" i="7"/>
  <c r="L161" i="7" s="1"/>
  <c r="AW168" i="7" s="1"/>
  <c r="I162" i="7"/>
  <c r="H162" i="7"/>
  <c r="J162" i="7" s="1"/>
  <c r="G162" i="7"/>
  <c r="L160" i="7"/>
  <c r="J160" i="7"/>
  <c r="G160" i="7"/>
  <c r="L159" i="7"/>
  <c r="L157" i="7" s="1"/>
  <c r="J159" i="7"/>
  <c r="G159" i="7"/>
  <c r="E159" i="7"/>
  <c r="L158" i="7"/>
  <c r="J158" i="7"/>
  <c r="G158" i="7"/>
  <c r="L155" i="7"/>
  <c r="L154" i="7" s="1"/>
  <c r="J155" i="7"/>
  <c r="G155" i="7"/>
  <c r="E153" i="7"/>
  <c r="G153" i="7"/>
  <c r="D153" i="7"/>
  <c r="C153" i="7"/>
  <c r="AW152" i="7"/>
  <c r="AT152" i="7"/>
  <c r="AO152" i="7"/>
  <c r="AE152" i="7"/>
  <c r="AD152" i="7"/>
  <c r="G151" i="7"/>
  <c r="E151" i="7"/>
  <c r="G150" i="7"/>
  <c r="E150" i="7"/>
  <c r="L147" i="7"/>
  <c r="L146" i="7" s="1"/>
  <c r="J147" i="7"/>
  <c r="G147" i="7"/>
  <c r="F147" i="7"/>
  <c r="C145" i="7"/>
  <c r="E143" i="7"/>
  <c r="G143" i="7"/>
  <c r="D143" i="7"/>
  <c r="C143" i="7"/>
  <c r="AW142" i="7"/>
  <c r="AT142" i="7"/>
  <c r="AO142" i="7"/>
  <c r="AE142" i="7"/>
  <c r="AD142" i="7"/>
  <c r="G141" i="7"/>
  <c r="E141" i="7"/>
  <c r="G140" i="7"/>
  <c r="E140" i="7"/>
  <c r="L137" i="7"/>
  <c r="L136" i="7" s="1"/>
  <c r="J137" i="7"/>
  <c r="G137" i="7"/>
  <c r="C135" i="7"/>
  <c r="E134" i="7"/>
  <c r="G134" i="7"/>
  <c r="D134" i="7"/>
  <c r="C134" i="7"/>
  <c r="AE133" i="7"/>
  <c r="AD133" i="7"/>
  <c r="G132" i="7"/>
  <c r="E132" i="7"/>
  <c r="G131" i="7"/>
  <c r="E131" i="7"/>
  <c r="L128" i="7"/>
  <c r="I128" i="7"/>
  <c r="H128" i="7"/>
  <c r="J128" i="7" s="1"/>
  <c r="G128" i="7"/>
  <c r="F128" i="7"/>
  <c r="L127" i="7"/>
  <c r="I127" i="7"/>
  <c r="H127" i="7"/>
  <c r="J127" i="7" s="1"/>
  <c r="G127" i="7"/>
  <c r="F127" i="7"/>
  <c r="L126" i="7"/>
  <c r="I126" i="7"/>
  <c r="H126" i="7"/>
  <c r="J126" i="7" s="1"/>
  <c r="G126" i="7"/>
  <c r="F126" i="7"/>
  <c r="L125" i="7"/>
  <c r="I125" i="7"/>
  <c r="H125" i="7"/>
  <c r="J125" i="7" s="1"/>
  <c r="G125" i="7"/>
  <c r="F125" i="7"/>
  <c r="L124" i="7"/>
  <c r="I124" i="7"/>
  <c r="H124" i="7"/>
  <c r="J124" i="7" s="1"/>
  <c r="G124" i="7"/>
  <c r="F124" i="7"/>
  <c r="L123" i="7"/>
  <c r="I123" i="7"/>
  <c r="H123" i="7"/>
  <c r="J123" i="7" s="1"/>
  <c r="G123" i="7"/>
  <c r="F123" i="7"/>
  <c r="L122" i="7"/>
  <c r="I122" i="7"/>
  <c r="H122" i="7"/>
  <c r="J122" i="7" s="1"/>
  <c r="G122" i="7"/>
  <c r="F122" i="7"/>
  <c r="L121" i="7"/>
  <c r="I121" i="7"/>
  <c r="H121" i="7"/>
  <c r="J121" i="7" s="1"/>
  <c r="G121" i="7"/>
  <c r="F121" i="7"/>
  <c r="L120" i="7"/>
  <c r="I120" i="7"/>
  <c r="H120" i="7"/>
  <c r="J120" i="7" s="1"/>
  <c r="G120" i="7"/>
  <c r="F120" i="7"/>
  <c r="L119" i="7"/>
  <c r="I119" i="7"/>
  <c r="H119" i="7"/>
  <c r="J119" i="7" s="1"/>
  <c r="G119" i="7"/>
  <c r="F119" i="7"/>
  <c r="L118" i="7"/>
  <c r="I118" i="7"/>
  <c r="H118" i="7"/>
  <c r="J118" i="7" s="1"/>
  <c r="G118" i="7"/>
  <c r="F118" i="7"/>
  <c r="L117" i="7"/>
  <c r="I117" i="7"/>
  <c r="H117" i="7"/>
  <c r="J117" i="7" s="1"/>
  <c r="G117" i="7"/>
  <c r="F117" i="7"/>
  <c r="L116" i="7"/>
  <c r="L115" i="7" s="1"/>
  <c r="AW133" i="7" s="1"/>
  <c r="I116" i="7"/>
  <c r="H116" i="7"/>
  <c r="J116" i="7" s="1"/>
  <c r="G116" i="7"/>
  <c r="F116" i="7"/>
  <c r="L114" i="7"/>
  <c r="J114" i="7"/>
  <c r="G114" i="7"/>
  <c r="F114" i="7"/>
  <c r="L113" i="7"/>
  <c r="I113" i="7"/>
  <c r="H113" i="7"/>
  <c r="J113" i="7" s="1"/>
  <c r="G113" i="7"/>
  <c r="F113" i="7"/>
  <c r="L112" i="7"/>
  <c r="J112" i="7"/>
  <c r="G112" i="7"/>
  <c r="F112" i="7"/>
  <c r="E112" i="7"/>
  <c r="L111" i="7"/>
  <c r="I111" i="7"/>
  <c r="H111" i="7"/>
  <c r="J111" i="7" s="1"/>
  <c r="G111" i="7"/>
  <c r="F111" i="7"/>
  <c r="L110" i="7"/>
  <c r="J110" i="7"/>
  <c r="G110" i="7"/>
  <c r="F110" i="7"/>
  <c r="E110" i="7"/>
  <c r="L109" i="7"/>
  <c r="I109" i="7"/>
  <c r="H109" i="7"/>
  <c r="J109" i="7" s="1"/>
  <c r="G109" i="7"/>
  <c r="F109" i="7"/>
  <c r="L108" i="7"/>
  <c r="J108" i="7"/>
  <c r="G108" i="7"/>
  <c r="F108" i="7"/>
  <c r="E108" i="7"/>
  <c r="L107" i="7"/>
  <c r="J107" i="7"/>
  <c r="G107" i="7"/>
  <c r="F107" i="7"/>
  <c r="L106" i="7"/>
  <c r="L104" i="7" s="1"/>
  <c r="J106" i="7"/>
  <c r="G106" i="7"/>
  <c r="F106" i="7"/>
  <c r="E106" i="7"/>
  <c r="L105" i="7"/>
  <c r="I105" i="7"/>
  <c r="H105" i="7"/>
  <c r="J105" i="7" s="1"/>
  <c r="G105" i="7"/>
  <c r="F105" i="7"/>
  <c r="L102" i="7"/>
  <c r="L101" i="7" s="1"/>
  <c r="J102" i="7"/>
  <c r="G102" i="7"/>
  <c r="F102" i="7"/>
  <c r="E99" i="7"/>
  <c r="G99" i="7"/>
  <c r="D99" i="7"/>
  <c r="C99" i="7"/>
  <c r="AE98" i="7"/>
  <c r="AD98" i="7"/>
  <c r="G97" i="7"/>
  <c r="E97" i="7"/>
  <c r="G96" i="7"/>
  <c r="E96" i="7"/>
  <c r="L93" i="7"/>
  <c r="L92" i="7" s="1"/>
  <c r="AW98" i="7" s="1"/>
  <c r="I93" i="7"/>
  <c r="K93" i="7"/>
  <c r="H93" i="7"/>
  <c r="J93" i="7" s="1"/>
  <c r="G93" i="7"/>
  <c r="F93" i="7"/>
  <c r="L91" i="7"/>
  <c r="J91" i="7"/>
  <c r="G91" i="7"/>
  <c r="F91" i="7"/>
  <c r="E91" i="7"/>
  <c r="L90" i="7"/>
  <c r="I90" i="7"/>
  <c r="H90" i="7"/>
  <c r="J90" i="7" s="1"/>
  <c r="G90" i="7"/>
  <c r="F90" i="7"/>
  <c r="L89" i="7"/>
  <c r="J89" i="7"/>
  <c r="G89" i="7"/>
  <c r="F89" i="7"/>
  <c r="E89" i="7"/>
  <c r="L88" i="7"/>
  <c r="I88" i="7"/>
  <c r="H88" i="7"/>
  <c r="J88" i="7" s="1"/>
  <c r="G88" i="7"/>
  <c r="F88" i="7"/>
  <c r="L87" i="7"/>
  <c r="L85" i="7" s="1"/>
  <c r="J87" i="7"/>
  <c r="G87" i="7"/>
  <c r="F87" i="7"/>
  <c r="E87" i="7"/>
  <c r="L86" i="7"/>
  <c r="J86" i="7"/>
  <c r="G86" i="7"/>
  <c r="F86" i="7"/>
  <c r="L83" i="7"/>
  <c r="L82" i="7" s="1"/>
  <c r="J83" i="7"/>
  <c r="G83" i="7"/>
  <c r="F83" i="7"/>
  <c r="C81" i="7"/>
  <c r="E77" i="7"/>
  <c r="G77" i="7"/>
  <c r="D77" i="7"/>
  <c r="C77" i="7"/>
  <c r="AE76" i="7"/>
  <c r="AD76" i="7"/>
  <c r="G75" i="7"/>
  <c r="E75" i="7"/>
  <c r="G74" i="7"/>
  <c r="E74" i="7"/>
  <c r="L71" i="7"/>
  <c r="L70" i="7" s="1"/>
  <c r="AW76" i="7" s="1"/>
  <c r="I71" i="7"/>
  <c r="K71" i="7"/>
  <c r="H71" i="7"/>
  <c r="J71" i="7" s="1"/>
  <c r="G71" i="7"/>
  <c r="F71" i="7"/>
  <c r="L69" i="7"/>
  <c r="J69" i="7"/>
  <c r="G69" i="7"/>
  <c r="F69" i="7"/>
  <c r="E69" i="7"/>
  <c r="L68" i="7"/>
  <c r="I68" i="7"/>
  <c r="H68" i="7"/>
  <c r="J68" i="7" s="1"/>
  <c r="G68" i="7"/>
  <c r="F68" i="7"/>
  <c r="L67" i="7"/>
  <c r="J67" i="7"/>
  <c r="G67" i="7"/>
  <c r="F67" i="7"/>
  <c r="E67" i="7"/>
  <c r="L66" i="7"/>
  <c r="I66" i="7"/>
  <c r="H66" i="7"/>
  <c r="J66" i="7" s="1"/>
  <c r="G66" i="7"/>
  <c r="F66" i="7"/>
  <c r="L65" i="7"/>
  <c r="L63" i="7" s="1"/>
  <c r="J65" i="7"/>
  <c r="G65" i="7"/>
  <c r="F65" i="7"/>
  <c r="E65" i="7"/>
  <c r="L64" i="7"/>
  <c r="J64" i="7"/>
  <c r="G64" i="7"/>
  <c r="F64" i="7"/>
  <c r="L61" i="7"/>
  <c r="L60" i="7" s="1"/>
  <c r="J61" i="7"/>
  <c r="G61" i="7"/>
  <c r="F61" i="7"/>
  <c r="C59" i="7"/>
  <c r="E55" i="7"/>
  <c r="G55" i="7"/>
  <c r="D55" i="7"/>
  <c r="C55" i="7"/>
  <c r="F16" i="7"/>
  <c r="F14" i="7"/>
  <c r="CO6" i="7"/>
  <c r="F6" i="7"/>
  <c r="F4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U17" i="3"/>
  <c r="CV17" i="3"/>
  <c r="CX17" i="3"/>
  <c r="CY17" i="3"/>
  <c r="CZ17" i="3"/>
  <c r="DA17" i="3"/>
  <c r="DB17" i="3"/>
  <c r="DC17" i="3"/>
  <c r="DF17" i="3"/>
  <c r="DG17" i="3"/>
  <c r="DH17" i="3"/>
  <c r="DI17" i="3"/>
  <c r="DJ17" i="3"/>
  <c r="A18" i="3"/>
  <c r="Y18" i="3"/>
  <c r="CX18" i="3"/>
  <c r="CY18" i="3"/>
  <c r="CZ18" i="3"/>
  <c r="DA18" i="3"/>
  <c r="DB18" i="3"/>
  <c r="DC18" i="3"/>
  <c r="DF18" i="3"/>
  <c r="DG18" i="3"/>
  <c r="DH18" i="3"/>
  <c r="DI18" i="3"/>
  <c r="DJ18" i="3"/>
  <c r="A19" i="3"/>
  <c r="Y19" i="3"/>
  <c r="CW19" i="3"/>
  <c r="CX19" i="3"/>
  <c r="CY19" i="3"/>
  <c r="CZ19" i="3"/>
  <c r="DA19" i="3"/>
  <c r="DB19" i="3"/>
  <c r="DC19" i="3"/>
  <c r="DF19" i="3"/>
  <c r="DG19" i="3"/>
  <c r="DH19" i="3"/>
  <c r="DI19" i="3"/>
  <c r="DJ19" i="3"/>
  <c r="A20" i="3"/>
  <c r="Y20" i="3"/>
  <c r="CW20" i="3"/>
  <c r="CX20" i="3"/>
  <c r="CY20" i="3"/>
  <c r="CZ20" i="3"/>
  <c r="DA20" i="3"/>
  <c r="DB20" i="3"/>
  <c r="DC20" i="3"/>
  <c r="DF20" i="3"/>
  <c r="DG20" i="3"/>
  <c r="DH20" i="3"/>
  <c r="DI20" i="3"/>
  <c r="DJ20" i="3"/>
  <c r="A21" i="3"/>
  <c r="Y21" i="3"/>
  <c r="CW21" i="3"/>
  <c r="CX21" i="3"/>
  <c r="CY21" i="3"/>
  <c r="CZ21" i="3"/>
  <c r="DA21" i="3"/>
  <c r="DB21" i="3"/>
  <c r="DC21" i="3"/>
  <c r="DF21" i="3"/>
  <c r="DG21" i="3"/>
  <c r="DH21" i="3"/>
  <c r="DI21" i="3"/>
  <c r="DJ21" i="3"/>
  <c r="A22" i="3"/>
  <c r="Y22" i="3"/>
  <c r="CW22" i="3"/>
  <c r="CX22" i="3"/>
  <c r="CY22" i="3"/>
  <c r="CZ22" i="3"/>
  <c r="DA22" i="3"/>
  <c r="DB22" i="3"/>
  <c r="DC22" i="3"/>
  <c r="DF22" i="3"/>
  <c r="DG22" i="3"/>
  <c r="DH22" i="3"/>
  <c r="DI22" i="3"/>
  <c r="DJ22" i="3"/>
  <c r="A23" i="3"/>
  <c r="Y23" i="3"/>
  <c r="CW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W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X32" i="3"/>
  <c r="CY32" i="3"/>
  <c r="CZ32" i="3"/>
  <c r="DA32" i="3"/>
  <c r="DB32" i="3"/>
  <c r="DC32" i="3"/>
  <c r="DF32" i="3"/>
  <c r="DG32" i="3"/>
  <c r="DH32" i="3"/>
  <c r="DI32" i="3"/>
  <c r="DJ32" i="3"/>
  <c r="A33" i="3"/>
  <c r="Y33" i="3"/>
  <c r="CX33" i="3"/>
  <c r="CY33" i="3"/>
  <c r="CZ33" i="3"/>
  <c r="DA33" i="3"/>
  <c r="DB33" i="3"/>
  <c r="DC33" i="3"/>
  <c r="DF33" i="3"/>
  <c r="DG33" i="3"/>
  <c r="DH33" i="3"/>
  <c r="DI33" i="3"/>
  <c r="DJ33" i="3"/>
  <c r="A34" i="3"/>
  <c r="Y34" i="3"/>
  <c r="CX34" i="3"/>
  <c r="CY34" i="3"/>
  <c r="CZ34" i="3"/>
  <c r="DA34" i="3"/>
  <c r="DB34" i="3"/>
  <c r="DC34" i="3"/>
  <c r="DF34" i="3"/>
  <c r="DG34" i="3"/>
  <c r="DH34" i="3"/>
  <c r="DI34" i="3"/>
  <c r="DJ34" i="3"/>
  <c r="A35" i="3"/>
  <c r="Y35" i="3"/>
  <c r="CX35" i="3"/>
  <c r="CY35" i="3"/>
  <c r="CZ35" i="3"/>
  <c r="DA35" i="3"/>
  <c r="DB35" i="3"/>
  <c r="DC35" i="3"/>
  <c r="DF35" i="3"/>
  <c r="DG35" i="3"/>
  <c r="DH35" i="3"/>
  <c r="DI35" i="3"/>
  <c r="DJ35" i="3"/>
  <c r="A36" i="3"/>
  <c r="Y36" i="3"/>
  <c r="CX36" i="3"/>
  <c r="CY36" i="3"/>
  <c r="CZ36" i="3"/>
  <c r="DA36" i="3"/>
  <c r="DB36" i="3"/>
  <c r="DC36" i="3"/>
  <c r="DF36" i="3"/>
  <c r="DG36" i="3"/>
  <c r="DH36" i="3"/>
  <c r="DI36" i="3"/>
  <c r="DJ36" i="3"/>
  <c r="A37" i="3"/>
  <c r="Y37" i="3"/>
  <c r="CX37" i="3"/>
  <c r="CY37" i="3"/>
  <c r="CZ37" i="3"/>
  <c r="DA37" i="3"/>
  <c r="DB37" i="3"/>
  <c r="DC37" i="3"/>
  <c r="DF37" i="3"/>
  <c r="DG37" i="3"/>
  <c r="DH37" i="3"/>
  <c r="DI37" i="3"/>
  <c r="DJ37" i="3"/>
  <c r="A38" i="3"/>
  <c r="Y38" i="3"/>
  <c r="CX38" i="3"/>
  <c r="CY38" i="3"/>
  <c r="CZ38" i="3"/>
  <c r="DA38" i="3"/>
  <c r="DB38" i="3"/>
  <c r="DC38" i="3"/>
  <c r="DF38" i="3"/>
  <c r="DG38" i="3"/>
  <c r="DH38" i="3"/>
  <c r="DI38" i="3"/>
  <c r="DJ38" i="3"/>
  <c r="A39" i="3"/>
  <c r="Y39" i="3"/>
  <c r="CY39" i="3"/>
  <c r="CZ39" i="3"/>
  <c r="DA39" i="3"/>
  <c r="DB39" i="3"/>
  <c r="DC39" i="3"/>
  <c r="A40" i="3"/>
  <c r="Y40" i="3"/>
  <c r="CY40" i="3"/>
  <c r="CZ40" i="3"/>
  <c r="DA40" i="3"/>
  <c r="DB40" i="3"/>
  <c r="DC40" i="3"/>
  <c r="A41" i="3"/>
  <c r="Y41" i="3"/>
  <c r="CU41" i="3"/>
  <c r="CV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W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W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U48" i="3"/>
  <c r="CV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W50" i="3"/>
  <c r="CX50" i="3"/>
  <c r="CY50" i="3"/>
  <c r="CZ50" i="3"/>
  <c r="DA50" i="3"/>
  <c r="DB50" i="3"/>
  <c r="DC50" i="3"/>
  <c r="DF50" i="3"/>
  <c r="DG50" i="3"/>
  <c r="DH50" i="3"/>
  <c r="DI50" i="3"/>
  <c r="DJ50" i="3"/>
  <c r="A51" i="3"/>
  <c r="Y51" i="3"/>
  <c r="CW51" i="3"/>
  <c r="CX51" i="3"/>
  <c r="CY51" i="3"/>
  <c r="CZ51" i="3"/>
  <c r="DA51" i="3"/>
  <c r="DB51" i="3"/>
  <c r="DC51" i="3"/>
  <c r="DF51" i="3"/>
  <c r="DG51" i="3"/>
  <c r="DH51" i="3"/>
  <c r="DI51" i="3"/>
  <c r="DJ51" i="3"/>
  <c r="A52" i="3"/>
  <c r="Y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X53" i="3"/>
  <c r="CY53" i="3"/>
  <c r="CZ53" i="3"/>
  <c r="DA53" i="3"/>
  <c r="DB53" i="3"/>
  <c r="DC53" i="3"/>
  <c r="DF53" i="3"/>
  <c r="DG53" i="3"/>
  <c r="DH53" i="3"/>
  <c r="DI53" i="3"/>
  <c r="DJ53" i="3"/>
  <c r="A54" i="3"/>
  <c r="Y54" i="3"/>
  <c r="CX54" i="3"/>
  <c r="CY54" i="3"/>
  <c r="CZ54" i="3"/>
  <c r="DA54" i="3"/>
  <c r="DB54" i="3"/>
  <c r="DC54" i="3"/>
  <c r="DF54" i="3"/>
  <c r="DG54" i="3"/>
  <c r="DH54" i="3"/>
  <c r="DI54" i="3"/>
  <c r="DJ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A57" i="3"/>
  <c r="DB57" i="3"/>
  <c r="DC57" i="3"/>
  <c r="A58" i="3"/>
  <c r="Y58" i="3"/>
  <c r="CY58" i="3"/>
  <c r="CZ58" i="3"/>
  <c r="DA58" i="3"/>
  <c r="DB58" i="3"/>
  <c r="DC58" i="3"/>
  <c r="A59" i="3"/>
  <c r="Y59" i="3"/>
  <c r="CY59" i="3"/>
  <c r="CZ59" i="3"/>
  <c r="DA59" i="3"/>
  <c r="DB59" i="3"/>
  <c r="DC59" i="3"/>
  <c r="A60" i="3"/>
  <c r="Y60" i="3"/>
  <c r="CY60" i="3"/>
  <c r="CZ60" i="3"/>
  <c r="DA60" i="3"/>
  <c r="DB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Y63" i="3"/>
  <c r="CZ63" i="3"/>
  <c r="DA63" i="3"/>
  <c r="DB63" i="3"/>
  <c r="DC63" i="3"/>
  <c r="A64" i="3"/>
  <c r="Y64" i="3"/>
  <c r="CY64" i="3"/>
  <c r="CZ64" i="3"/>
  <c r="DA64" i="3"/>
  <c r="DB64" i="3"/>
  <c r="DC64" i="3"/>
  <c r="A65" i="3"/>
  <c r="Y65" i="3"/>
  <c r="CY65" i="3"/>
  <c r="CZ65" i="3"/>
  <c r="DA65" i="3"/>
  <c r="DB65" i="3"/>
  <c r="DC65" i="3"/>
  <c r="A66" i="3"/>
  <c r="Y66" i="3"/>
  <c r="CY66" i="3"/>
  <c r="CZ66" i="3"/>
  <c r="DA66" i="3"/>
  <c r="DB66" i="3"/>
  <c r="DC66" i="3"/>
  <c r="A67" i="3"/>
  <c r="Y67" i="3"/>
  <c r="CY67" i="3"/>
  <c r="CZ67" i="3"/>
  <c r="DA67" i="3"/>
  <c r="DB67" i="3"/>
  <c r="DC67" i="3"/>
  <c r="A68" i="3"/>
  <c r="Y68" i="3"/>
  <c r="CY68" i="3"/>
  <c r="CZ68" i="3"/>
  <c r="DA68" i="3"/>
  <c r="DB68" i="3"/>
  <c r="DC68" i="3"/>
  <c r="A69" i="3"/>
  <c r="Y69" i="3"/>
  <c r="CY69" i="3"/>
  <c r="CZ69" i="3"/>
  <c r="DA69" i="3"/>
  <c r="DB69" i="3"/>
  <c r="DC69" i="3"/>
  <c r="A70" i="3"/>
  <c r="Y70" i="3"/>
  <c r="CY70" i="3"/>
  <c r="CZ70" i="3"/>
  <c r="DA70" i="3"/>
  <c r="DB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A72" i="3"/>
  <c r="DB72" i="3"/>
  <c r="DC72" i="3"/>
  <c r="A73" i="3"/>
  <c r="Y73" i="3"/>
  <c r="CU73" i="3"/>
  <c r="CV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W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W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W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W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W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W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X82" i="3"/>
  <c r="CY82" i="3"/>
  <c r="CZ82" i="3"/>
  <c r="DA82" i="3"/>
  <c r="DB82" i="3"/>
  <c r="DC82" i="3"/>
  <c r="DF82" i="3"/>
  <c r="DG82" i="3"/>
  <c r="DH82" i="3"/>
  <c r="DI82" i="3"/>
  <c r="DJ82" i="3"/>
  <c r="A83" i="3"/>
  <c r="Y83" i="3"/>
  <c r="CX83" i="3"/>
  <c r="CY83" i="3"/>
  <c r="CZ83" i="3"/>
  <c r="DA83" i="3"/>
  <c r="DB83" i="3"/>
  <c r="DC83" i="3"/>
  <c r="DF83" i="3"/>
  <c r="DG83" i="3"/>
  <c r="DH83" i="3"/>
  <c r="DI83" i="3"/>
  <c r="DJ83" i="3"/>
  <c r="A84" i="3"/>
  <c r="Y84" i="3"/>
  <c r="CX84" i="3"/>
  <c r="CY84" i="3"/>
  <c r="CZ84" i="3"/>
  <c r="DA84" i="3"/>
  <c r="DB84" i="3"/>
  <c r="DC84" i="3"/>
  <c r="DF84" i="3"/>
  <c r="DG84" i="3"/>
  <c r="DH84" i="3"/>
  <c r="DI84" i="3"/>
  <c r="DJ84" i="3"/>
  <c r="A85" i="3"/>
  <c r="Y85" i="3"/>
  <c r="CX85" i="3"/>
  <c r="CY85" i="3"/>
  <c r="CZ85" i="3"/>
  <c r="DA85" i="3"/>
  <c r="DB85" i="3"/>
  <c r="DC85" i="3"/>
  <c r="DF85" i="3"/>
  <c r="DG85" i="3"/>
  <c r="DH85" i="3"/>
  <c r="DI85" i="3"/>
  <c r="DJ85" i="3"/>
  <c r="A86" i="3"/>
  <c r="Y86" i="3"/>
  <c r="CX86" i="3"/>
  <c r="CY86" i="3"/>
  <c r="CZ86" i="3"/>
  <c r="DA86" i="3"/>
  <c r="DB86" i="3"/>
  <c r="DC86" i="3"/>
  <c r="DF86" i="3"/>
  <c r="DG86" i="3"/>
  <c r="DH86" i="3"/>
  <c r="DI86" i="3"/>
  <c r="DJ86" i="3"/>
  <c r="A87" i="3"/>
  <c r="Y87" i="3"/>
  <c r="CX87" i="3"/>
  <c r="CY87" i="3"/>
  <c r="CZ87" i="3"/>
  <c r="DA87" i="3"/>
  <c r="DB87" i="3"/>
  <c r="DC87" i="3"/>
  <c r="DF87" i="3"/>
  <c r="DG87" i="3"/>
  <c r="DH87" i="3"/>
  <c r="DI87" i="3"/>
  <c r="DJ87" i="3"/>
  <c r="A88" i="3"/>
  <c r="Y88" i="3"/>
  <c r="CX88" i="3"/>
  <c r="CY88" i="3"/>
  <c r="CZ88" i="3"/>
  <c r="DA88" i="3"/>
  <c r="DB88" i="3"/>
  <c r="DC88" i="3"/>
  <c r="DF88" i="3"/>
  <c r="DG88" i="3"/>
  <c r="DH88" i="3"/>
  <c r="DI88" i="3"/>
  <c r="DJ88" i="3"/>
  <c r="A89" i="3"/>
  <c r="Y89" i="3"/>
  <c r="CX89" i="3"/>
  <c r="CY89" i="3"/>
  <c r="CZ89" i="3"/>
  <c r="DA89" i="3"/>
  <c r="DB89" i="3"/>
  <c r="DC89" i="3"/>
  <c r="DF89" i="3"/>
  <c r="DG89" i="3"/>
  <c r="DH89" i="3"/>
  <c r="DI89" i="3"/>
  <c r="DJ89" i="3"/>
  <c r="A90" i="3"/>
  <c r="Y90" i="3"/>
  <c r="CX90" i="3"/>
  <c r="CY90" i="3"/>
  <c r="CZ90" i="3"/>
  <c r="DA90" i="3"/>
  <c r="DB90" i="3"/>
  <c r="DC90" i="3"/>
  <c r="DF90" i="3"/>
  <c r="DG90" i="3"/>
  <c r="DH90" i="3"/>
  <c r="DI90" i="3"/>
  <c r="DJ90" i="3"/>
  <c r="A91" i="3"/>
  <c r="Y91" i="3"/>
  <c r="CX91" i="3"/>
  <c r="CY91" i="3"/>
  <c r="CZ91" i="3"/>
  <c r="DA91" i="3"/>
  <c r="DB91" i="3"/>
  <c r="DC91" i="3"/>
  <c r="DF91" i="3"/>
  <c r="DG91" i="3"/>
  <c r="DH91" i="3"/>
  <c r="DI91" i="3"/>
  <c r="DJ91" i="3"/>
  <c r="A92" i="3"/>
  <c r="Y92" i="3"/>
  <c r="CX92" i="3"/>
  <c r="CY92" i="3"/>
  <c r="CZ92" i="3"/>
  <c r="DA92" i="3"/>
  <c r="DB92" i="3"/>
  <c r="DC92" i="3"/>
  <c r="DF92" i="3"/>
  <c r="DG92" i="3"/>
  <c r="DH92" i="3"/>
  <c r="DI92" i="3"/>
  <c r="DJ92" i="3"/>
  <c r="A93" i="3"/>
  <c r="Y93" i="3"/>
  <c r="CX93" i="3"/>
  <c r="CY93" i="3"/>
  <c r="CZ93" i="3"/>
  <c r="DA93" i="3"/>
  <c r="DB93" i="3"/>
  <c r="DC93" i="3"/>
  <c r="DF93" i="3"/>
  <c r="DG93" i="3"/>
  <c r="DH93" i="3"/>
  <c r="DI93" i="3"/>
  <c r="DJ93" i="3"/>
  <c r="A94" i="3"/>
  <c r="Y94" i="3"/>
  <c r="CX94" i="3"/>
  <c r="CY94" i="3"/>
  <c r="CZ94" i="3"/>
  <c r="DA94" i="3"/>
  <c r="DB94" i="3"/>
  <c r="DC94" i="3"/>
  <c r="DF94" i="3"/>
  <c r="DG94" i="3"/>
  <c r="DH94" i="3"/>
  <c r="DI94" i="3"/>
  <c r="DJ94" i="3"/>
  <c r="A95" i="3"/>
  <c r="Y95" i="3"/>
  <c r="CX95" i="3"/>
  <c r="CY95" i="3"/>
  <c r="CZ95" i="3"/>
  <c r="DA95" i="3"/>
  <c r="DB95" i="3"/>
  <c r="DC95" i="3"/>
  <c r="DF95" i="3"/>
  <c r="DG95" i="3"/>
  <c r="DH95" i="3"/>
  <c r="DI95" i="3"/>
  <c r="DJ95" i="3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Y98" i="3"/>
  <c r="CZ98" i="3"/>
  <c r="DA98" i="3"/>
  <c r="DB98" i="3"/>
  <c r="DC98" i="3"/>
  <c r="A99" i="3"/>
  <c r="Y99" i="3"/>
  <c r="CY99" i="3"/>
  <c r="CZ99" i="3"/>
  <c r="DA99" i="3"/>
  <c r="DB99" i="3"/>
  <c r="DC99" i="3"/>
  <c r="A100" i="3"/>
  <c r="Y100" i="3"/>
  <c r="CY100" i="3"/>
  <c r="CZ100" i="3"/>
  <c r="DA100" i="3"/>
  <c r="DB100" i="3"/>
  <c r="DC100" i="3"/>
  <c r="A101" i="3"/>
  <c r="Y101" i="3"/>
  <c r="CY101" i="3"/>
  <c r="CZ101" i="3"/>
  <c r="DA101" i="3"/>
  <c r="DB101" i="3"/>
  <c r="DC101" i="3"/>
  <c r="A102" i="3"/>
  <c r="Y102" i="3"/>
  <c r="CY102" i="3"/>
  <c r="CZ102" i="3"/>
  <c r="DA102" i="3"/>
  <c r="DB102" i="3"/>
  <c r="DC102" i="3"/>
  <c r="A103" i="3"/>
  <c r="Y103" i="3"/>
  <c r="CY103" i="3"/>
  <c r="CZ103" i="3"/>
  <c r="DA103" i="3"/>
  <c r="DB103" i="3"/>
  <c r="DC103" i="3"/>
  <c r="A104" i="3"/>
  <c r="Y104" i="3"/>
  <c r="CY104" i="3"/>
  <c r="CZ104" i="3"/>
  <c r="DA104" i="3"/>
  <c r="DB104" i="3"/>
  <c r="DC104" i="3"/>
  <c r="A105" i="3"/>
  <c r="Y105" i="3"/>
  <c r="CY105" i="3"/>
  <c r="CZ105" i="3"/>
  <c r="DA105" i="3"/>
  <c r="DB105" i="3"/>
  <c r="DC105" i="3"/>
  <c r="A106" i="3"/>
  <c r="Y106" i="3"/>
  <c r="CY106" i="3"/>
  <c r="CZ106" i="3"/>
  <c r="DA106" i="3"/>
  <c r="DB106" i="3"/>
  <c r="DC106" i="3"/>
  <c r="A107" i="3"/>
  <c r="Y107" i="3"/>
  <c r="CY107" i="3"/>
  <c r="CZ107" i="3"/>
  <c r="DA107" i="3"/>
  <c r="DB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A109" i="3"/>
  <c r="DB109" i="3"/>
  <c r="DC109" i="3"/>
  <c r="A110" i="3"/>
  <c r="Y110" i="3"/>
  <c r="CY110" i="3"/>
  <c r="CZ110" i="3"/>
  <c r="DA110" i="3"/>
  <c r="DB110" i="3"/>
  <c r="DC110" i="3"/>
  <c r="A111" i="3"/>
  <c r="Y111" i="3"/>
  <c r="CY111" i="3"/>
  <c r="CZ111" i="3"/>
  <c r="DA111" i="3"/>
  <c r="DB111" i="3"/>
  <c r="DC111" i="3"/>
  <c r="A112" i="3"/>
  <c r="Y112" i="3"/>
  <c r="CY112" i="3"/>
  <c r="CZ112" i="3"/>
  <c r="DA112" i="3"/>
  <c r="DB112" i="3"/>
  <c r="DC112" i="3"/>
  <c r="A113" i="3"/>
  <c r="Y113" i="3"/>
  <c r="CY113" i="3"/>
  <c r="CZ113" i="3"/>
  <c r="DA113" i="3"/>
  <c r="DB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A118" i="3"/>
  <c r="DB118" i="3"/>
  <c r="DC118" i="3"/>
  <c r="A119" i="3"/>
  <c r="Y119" i="3"/>
  <c r="CY119" i="3"/>
  <c r="CZ119" i="3"/>
  <c r="DA119" i="3"/>
  <c r="DB119" i="3"/>
  <c r="DC119" i="3"/>
  <c r="A120" i="3"/>
  <c r="Y120" i="3"/>
  <c r="CY120" i="3"/>
  <c r="CZ120" i="3"/>
  <c r="DA120" i="3"/>
  <c r="DB120" i="3"/>
  <c r="DC120" i="3"/>
  <c r="A121" i="3"/>
  <c r="Y121" i="3"/>
  <c r="CY121" i="3"/>
  <c r="CZ121" i="3"/>
  <c r="DA121" i="3"/>
  <c r="DB121" i="3"/>
  <c r="DC121" i="3"/>
  <c r="A122" i="3"/>
  <c r="Y122" i="3"/>
  <c r="CY122" i="3"/>
  <c r="CZ122" i="3"/>
  <c r="DA122" i="3"/>
  <c r="DB122" i="3"/>
  <c r="DC122" i="3"/>
  <c r="A123" i="3"/>
  <c r="Y123" i="3"/>
  <c r="CY123" i="3"/>
  <c r="CZ123" i="3"/>
  <c r="DA123" i="3"/>
  <c r="DB123" i="3"/>
  <c r="DC123" i="3"/>
  <c r="A124" i="3"/>
  <c r="Y124" i="3"/>
  <c r="CY124" i="3"/>
  <c r="CZ124" i="3"/>
  <c r="DA124" i="3"/>
  <c r="DB124" i="3"/>
  <c r="DC124" i="3"/>
  <c r="A125" i="3"/>
  <c r="Y125" i="3"/>
  <c r="CY125" i="3"/>
  <c r="CZ125" i="3"/>
  <c r="DA125" i="3"/>
  <c r="DB125" i="3"/>
  <c r="DC125" i="3"/>
  <c r="A126" i="3"/>
  <c r="Y126" i="3"/>
  <c r="CY126" i="3"/>
  <c r="CZ126" i="3"/>
  <c r="DA126" i="3"/>
  <c r="DB126" i="3"/>
  <c r="DC126" i="3"/>
  <c r="A127" i="3"/>
  <c r="Y127" i="3"/>
  <c r="CY127" i="3"/>
  <c r="CZ127" i="3"/>
  <c r="DA127" i="3"/>
  <c r="DB127" i="3"/>
  <c r="DC127" i="3"/>
  <c r="A128" i="3"/>
  <c r="Y128" i="3"/>
  <c r="CY128" i="3"/>
  <c r="CZ128" i="3"/>
  <c r="DA128" i="3"/>
  <c r="DB128" i="3"/>
  <c r="DC128" i="3"/>
  <c r="A129" i="3"/>
  <c r="Y129" i="3"/>
  <c r="CY129" i="3"/>
  <c r="CZ129" i="3"/>
  <c r="DA129" i="3"/>
  <c r="DB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A132" i="3"/>
  <c r="DB132" i="3"/>
  <c r="DC132" i="3"/>
  <c r="A133" i="3"/>
  <c r="Y133" i="3"/>
  <c r="CY133" i="3"/>
  <c r="CZ133" i="3"/>
  <c r="DA133" i="3"/>
  <c r="DB133" i="3"/>
  <c r="DC133" i="3"/>
  <c r="A134" i="3"/>
  <c r="Y134" i="3"/>
  <c r="CY134" i="3"/>
  <c r="CZ134" i="3"/>
  <c r="DA134" i="3"/>
  <c r="DB134" i="3"/>
  <c r="DC134" i="3"/>
  <c r="A135" i="3"/>
  <c r="Y135" i="3"/>
  <c r="CU135" i="3"/>
  <c r="CV135" i="3"/>
  <c r="CX135" i="3"/>
  <c r="CY135" i="3"/>
  <c r="CZ135" i="3"/>
  <c r="DA135" i="3"/>
  <c r="DB135" i="3"/>
  <c r="DC135" i="3"/>
  <c r="DF135" i="3"/>
  <c r="DG135" i="3"/>
  <c r="DH135" i="3"/>
  <c r="DI135" i="3"/>
  <c r="DJ135" i="3"/>
  <c r="A136" i="3"/>
  <c r="Y136" i="3"/>
  <c r="CX136" i="3"/>
  <c r="CY136" i="3"/>
  <c r="CZ136" i="3"/>
  <c r="DA136" i="3"/>
  <c r="DB136" i="3"/>
  <c r="DC136" i="3"/>
  <c r="DF136" i="3"/>
  <c r="DG136" i="3"/>
  <c r="DH136" i="3"/>
  <c r="DI136" i="3"/>
  <c r="DJ136" i="3"/>
  <c r="A137" i="3"/>
  <c r="Y137" i="3"/>
  <c r="CW137" i="3"/>
  <c r="CX137" i="3"/>
  <c r="CY137" i="3"/>
  <c r="CZ137" i="3"/>
  <c r="DA137" i="3"/>
  <c r="DB137" i="3"/>
  <c r="DC137" i="3"/>
  <c r="DF137" i="3"/>
  <c r="DG137" i="3"/>
  <c r="DH137" i="3"/>
  <c r="DI137" i="3"/>
  <c r="DJ137" i="3"/>
  <c r="A138" i="3"/>
  <c r="Y138" i="3"/>
  <c r="CW138" i="3"/>
  <c r="CX138" i="3"/>
  <c r="CY138" i="3"/>
  <c r="CZ138" i="3"/>
  <c r="DA138" i="3"/>
  <c r="DB138" i="3"/>
  <c r="DC138" i="3"/>
  <c r="DF138" i="3"/>
  <c r="DG138" i="3"/>
  <c r="DH138" i="3"/>
  <c r="DI138" i="3"/>
  <c r="DJ138" i="3"/>
  <c r="A139" i="3"/>
  <c r="Y139" i="3"/>
  <c r="CW139" i="3"/>
  <c r="CX139" i="3"/>
  <c r="CY139" i="3"/>
  <c r="CZ139" i="3"/>
  <c r="DA139" i="3"/>
  <c r="DB139" i="3"/>
  <c r="DC139" i="3"/>
  <c r="DF139" i="3"/>
  <c r="DG139" i="3"/>
  <c r="DH139" i="3"/>
  <c r="DI139" i="3"/>
  <c r="DJ139" i="3"/>
  <c r="A140" i="3"/>
  <c r="Y140" i="3"/>
  <c r="CX140" i="3"/>
  <c r="CY140" i="3"/>
  <c r="CZ140" i="3"/>
  <c r="DA140" i="3"/>
  <c r="DB140" i="3"/>
  <c r="DC140" i="3"/>
  <c r="DF140" i="3"/>
  <c r="DG140" i="3"/>
  <c r="DH140" i="3"/>
  <c r="DI140" i="3"/>
  <c r="DJ140" i="3"/>
  <c r="A141" i="3"/>
  <c r="Y141" i="3"/>
  <c r="CX141" i="3"/>
  <c r="CY141" i="3"/>
  <c r="CZ141" i="3"/>
  <c r="DA141" i="3"/>
  <c r="DB141" i="3"/>
  <c r="DC141" i="3"/>
  <c r="DF141" i="3"/>
  <c r="DG141" i="3"/>
  <c r="DH141" i="3"/>
  <c r="DI141" i="3"/>
  <c r="DJ141" i="3"/>
  <c r="A142" i="3"/>
  <c r="Y142" i="3"/>
  <c r="CX142" i="3"/>
  <c r="CY142" i="3"/>
  <c r="CZ142" i="3"/>
  <c r="DA142" i="3"/>
  <c r="DB142" i="3"/>
  <c r="DC142" i="3"/>
  <c r="DF142" i="3"/>
  <c r="DG142" i="3"/>
  <c r="DH142" i="3"/>
  <c r="DI142" i="3"/>
  <c r="DJ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U145" i="3"/>
  <c r="CV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W147" i="3"/>
  <c r="CX147" i="3"/>
  <c r="CY147" i="3"/>
  <c r="CZ147" i="3"/>
  <c r="DA147" i="3"/>
  <c r="DB147" i="3"/>
  <c r="DC147" i="3"/>
  <c r="DF147" i="3"/>
  <c r="DG147" i="3"/>
  <c r="DH147" i="3"/>
  <c r="DI147" i="3"/>
  <c r="DJ147" i="3"/>
  <c r="A148" i="3"/>
  <c r="Y148" i="3"/>
  <c r="CW148" i="3"/>
  <c r="CX148" i="3"/>
  <c r="CY148" i="3"/>
  <c r="CZ148" i="3"/>
  <c r="DA148" i="3"/>
  <c r="DB148" i="3"/>
  <c r="DC148" i="3"/>
  <c r="DF148" i="3"/>
  <c r="DG148" i="3"/>
  <c r="DH148" i="3"/>
  <c r="DI148" i="3"/>
  <c r="DJ148" i="3"/>
  <c r="A149" i="3"/>
  <c r="Y149" i="3"/>
  <c r="CX149" i="3"/>
  <c r="CY149" i="3"/>
  <c r="CZ149" i="3"/>
  <c r="DA149" i="3"/>
  <c r="DB149" i="3"/>
  <c r="DC149" i="3"/>
  <c r="DF149" i="3"/>
  <c r="DG149" i="3"/>
  <c r="DH149" i="3"/>
  <c r="DI149" i="3"/>
  <c r="DJ149" i="3"/>
  <c r="A150" i="3"/>
  <c r="Y150" i="3"/>
  <c r="CX150" i="3"/>
  <c r="CY150" i="3"/>
  <c r="CZ150" i="3"/>
  <c r="DA150" i="3"/>
  <c r="DB150" i="3"/>
  <c r="DC150" i="3"/>
  <c r="DF150" i="3"/>
  <c r="DG150" i="3"/>
  <c r="DH150" i="3"/>
  <c r="DI150" i="3"/>
  <c r="DJ150" i="3"/>
  <c r="A151" i="3"/>
  <c r="Y151" i="3"/>
  <c r="CX151" i="3"/>
  <c r="CY151" i="3"/>
  <c r="CZ151" i="3"/>
  <c r="DA151" i="3"/>
  <c r="DB151" i="3"/>
  <c r="DC151" i="3"/>
  <c r="DF151" i="3"/>
  <c r="DG151" i="3"/>
  <c r="DH151" i="3"/>
  <c r="DI151" i="3"/>
  <c r="DJ151" i="3"/>
  <c r="A152" i="3"/>
  <c r="Y152" i="3"/>
  <c r="CU152" i="3"/>
  <c r="CV152" i="3"/>
  <c r="CX152" i="3"/>
  <c r="CY152" i="3"/>
  <c r="CZ152" i="3"/>
  <c r="DA152" i="3"/>
  <c r="DB152" i="3"/>
  <c r="DC152" i="3"/>
  <c r="DF152" i="3"/>
  <c r="DG152" i="3"/>
  <c r="DH152" i="3"/>
  <c r="DI152" i="3"/>
  <c r="DJ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W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W155" i="3"/>
  <c r="CX155" i="3"/>
  <c r="CY155" i="3"/>
  <c r="CZ155" i="3"/>
  <c r="DA155" i="3"/>
  <c r="DB155" i="3"/>
  <c r="DC155" i="3"/>
  <c r="DF155" i="3"/>
  <c r="DG155" i="3"/>
  <c r="DH155" i="3"/>
  <c r="DI155" i="3"/>
  <c r="DJ155" i="3"/>
  <c r="A156" i="3"/>
  <c r="Y156" i="3"/>
  <c r="CX156" i="3"/>
  <c r="CY156" i="3"/>
  <c r="CZ156" i="3"/>
  <c r="DA156" i="3"/>
  <c r="DB156" i="3"/>
  <c r="DC156" i="3"/>
  <c r="DF156" i="3"/>
  <c r="DG156" i="3"/>
  <c r="DH156" i="3"/>
  <c r="DI156" i="3"/>
  <c r="DJ156" i="3"/>
  <c r="A157" i="3"/>
  <c r="Y157" i="3"/>
  <c r="CX157" i="3"/>
  <c r="CY157" i="3"/>
  <c r="CZ157" i="3"/>
  <c r="DA157" i="3"/>
  <c r="DB157" i="3"/>
  <c r="DC157" i="3"/>
  <c r="DF157" i="3"/>
  <c r="DG157" i="3"/>
  <c r="DH157" i="3"/>
  <c r="DI157" i="3"/>
  <c r="DJ157" i="3"/>
  <c r="A158" i="3"/>
  <c r="Y158" i="3"/>
  <c r="CX158" i="3"/>
  <c r="CY158" i="3"/>
  <c r="CZ158" i="3"/>
  <c r="DA158" i="3"/>
  <c r="DB158" i="3"/>
  <c r="DC158" i="3"/>
  <c r="DF158" i="3"/>
  <c r="DG158" i="3"/>
  <c r="DH158" i="3"/>
  <c r="DI158" i="3"/>
  <c r="DJ158" i="3"/>
  <c r="A159" i="3"/>
  <c r="Y159" i="3"/>
  <c r="CX159" i="3"/>
  <c r="CY159" i="3"/>
  <c r="CZ159" i="3"/>
  <c r="DA159" i="3"/>
  <c r="DB159" i="3"/>
  <c r="DC159" i="3"/>
  <c r="DF159" i="3"/>
  <c r="DG159" i="3"/>
  <c r="DH159" i="3"/>
  <c r="DI159" i="3"/>
  <c r="DJ159" i="3"/>
  <c r="A160" i="3"/>
  <c r="Y160" i="3"/>
  <c r="CX160" i="3"/>
  <c r="CY160" i="3"/>
  <c r="CZ160" i="3"/>
  <c r="DA160" i="3"/>
  <c r="DB160" i="3"/>
  <c r="DC160" i="3"/>
  <c r="DF160" i="3"/>
  <c r="DG160" i="3"/>
  <c r="DH160" i="3"/>
  <c r="DI160" i="3"/>
  <c r="DJ160" i="3"/>
  <c r="A161" i="3"/>
  <c r="Y161" i="3"/>
  <c r="CX161" i="3"/>
  <c r="CY161" i="3"/>
  <c r="CZ161" i="3"/>
  <c r="DA161" i="3"/>
  <c r="DB161" i="3"/>
  <c r="DC161" i="3"/>
  <c r="DF161" i="3"/>
  <c r="DG161" i="3"/>
  <c r="DH161" i="3"/>
  <c r="DI161" i="3"/>
  <c r="DJ161" i="3"/>
  <c r="A162" i="3"/>
  <c r="Y162" i="3"/>
  <c r="CX162" i="3"/>
  <c r="CY162" i="3"/>
  <c r="CZ162" i="3"/>
  <c r="DA162" i="3"/>
  <c r="DB162" i="3"/>
  <c r="DC162" i="3"/>
  <c r="DF162" i="3"/>
  <c r="DG162" i="3"/>
  <c r="DH162" i="3"/>
  <c r="DI162" i="3"/>
  <c r="DJ162" i="3"/>
  <c r="A163" i="3"/>
  <c r="Y163" i="3"/>
  <c r="CX163" i="3"/>
  <c r="CY163" i="3"/>
  <c r="CZ163" i="3"/>
  <c r="DA163" i="3"/>
  <c r="DB163" i="3"/>
  <c r="DC163" i="3"/>
  <c r="DF163" i="3"/>
  <c r="DG163" i="3"/>
  <c r="DH163" i="3"/>
  <c r="DI163" i="3"/>
  <c r="DJ163" i="3"/>
  <c r="A164" i="3"/>
  <c r="Y164" i="3"/>
  <c r="CX164" i="3"/>
  <c r="CY164" i="3"/>
  <c r="CZ164" i="3"/>
  <c r="DA164" i="3"/>
  <c r="DB164" i="3"/>
  <c r="DC164" i="3"/>
  <c r="DF164" i="3"/>
  <c r="DG164" i="3"/>
  <c r="DH164" i="3"/>
  <c r="DI164" i="3"/>
  <c r="DJ164" i="3"/>
  <c r="A165" i="3"/>
  <c r="Y165" i="3"/>
  <c r="CX165" i="3"/>
  <c r="CY165" i="3"/>
  <c r="CZ165" i="3"/>
  <c r="DA165" i="3"/>
  <c r="DB165" i="3"/>
  <c r="DC165" i="3"/>
  <c r="DF165" i="3"/>
  <c r="DG165" i="3"/>
  <c r="DH165" i="3"/>
  <c r="DI165" i="3"/>
  <c r="DJ165" i="3"/>
  <c r="A166" i="3"/>
  <c r="Y166" i="3"/>
  <c r="CX166" i="3"/>
  <c r="CY166" i="3"/>
  <c r="CZ166" i="3"/>
  <c r="DA166" i="3"/>
  <c r="DB166" i="3"/>
  <c r="DC166" i="3"/>
  <c r="DF166" i="3"/>
  <c r="DG166" i="3"/>
  <c r="DH166" i="3"/>
  <c r="DI166" i="3"/>
  <c r="DJ166" i="3"/>
  <c r="A167" i="3"/>
  <c r="Y167" i="3"/>
  <c r="CU167" i="3"/>
  <c r="CV167" i="3"/>
  <c r="CX167" i="3"/>
  <c r="CY167" i="3"/>
  <c r="CZ167" i="3"/>
  <c r="DA167" i="3"/>
  <c r="DB167" i="3"/>
  <c r="DC167" i="3"/>
  <c r="DF167" i="3"/>
  <c r="DG167" i="3"/>
  <c r="DH167" i="3"/>
  <c r="DI167" i="3"/>
  <c r="DJ167" i="3"/>
  <c r="A168" i="3"/>
  <c r="Y168" i="3"/>
  <c r="CU168" i="3"/>
  <c r="CV168" i="3"/>
  <c r="CX168" i="3"/>
  <c r="CY168" i="3"/>
  <c r="CZ168" i="3"/>
  <c r="DA168" i="3"/>
  <c r="DB168" i="3"/>
  <c r="DC168" i="3"/>
  <c r="DF168" i="3"/>
  <c r="DG168" i="3"/>
  <c r="DH168" i="3"/>
  <c r="DI168" i="3"/>
  <c r="DJ168" i="3"/>
  <c r="A169" i="3"/>
  <c r="Y169" i="3"/>
  <c r="CU169" i="3"/>
  <c r="CV169" i="3"/>
  <c r="CX169" i="3"/>
  <c r="CY169" i="3"/>
  <c r="CZ169" i="3"/>
  <c r="DA169" i="3"/>
  <c r="DB169" i="3"/>
  <c r="DC169" i="3"/>
  <c r="DF169" i="3"/>
  <c r="DG169" i="3"/>
  <c r="DH169" i="3"/>
  <c r="DI169" i="3"/>
  <c r="DJ169" i="3"/>
  <c r="A170" i="3"/>
  <c r="Y170" i="3"/>
  <c r="CU170" i="3"/>
  <c r="CV170" i="3"/>
  <c r="CX170" i="3"/>
  <c r="CY170" i="3"/>
  <c r="CZ170" i="3"/>
  <c r="DA170" i="3"/>
  <c r="DB170" i="3"/>
  <c r="DC170" i="3"/>
  <c r="DF170" i="3"/>
  <c r="DG170" i="3"/>
  <c r="DH170" i="3"/>
  <c r="DI170" i="3"/>
  <c r="DJ170" i="3"/>
  <c r="A171" i="3"/>
  <c r="Y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W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W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W174" i="3"/>
  <c r="CX174" i="3"/>
  <c r="CY174" i="3"/>
  <c r="CZ174" i="3"/>
  <c r="DA174" i="3"/>
  <c r="DB174" i="3"/>
  <c r="DC174" i="3"/>
  <c r="DF174" i="3"/>
  <c r="DG174" i="3"/>
  <c r="DH174" i="3"/>
  <c r="DI174" i="3"/>
  <c r="DJ174" i="3"/>
  <c r="A175" i="3"/>
  <c r="Y175" i="3"/>
  <c r="CW175" i="3"/>
  <c r="CX175" i="3"/>
  <c r="CY175" i="3"/>
  <c r="CZ175" i="3"/>
  <c r="DA175" i="3"/>
  <c r="DB175" i="3"/>
  <c r="DC175" i="3"/>
  <c r="DF175" i="3"/>
  <c r="DG175" i="3"/>
  <c r="DH175" i="3"/>
  <c r="DI175" i="3"/>
  <c r="DJ175" i="3"/>
  <c r="A176" i="3"/>
  <c r="Y176" i="3"/>
  <c r="CW176" i="3"/>
  <c r="CX176" i="3"/>
  <c r="CY176" i="3"/>
  <c r="CZ176" i="3"/>
  <c r="DA176" i="3"/>
  <c r="DB176" i="3"/>
  <c r="DC176" i="3"/>
  <c r="DF176" i="3"/>
  <c r="DG176" i="3"/>
  <c r="DH176" i="3"/>
  <c r="DI176" i="3"/>
  <c r="DJ176" i="3"/>
  <c r="A177" i="3"/>
  <c r="Y177" i="3"/>
  <c r="CU177" i="3"/>
  <c r="CV177" i="3"/>
  <c r="CX177" i="3"/>
  <c r="CY177" i="3"/>
  <c r="CZ177" i="3"/>
  <c r="DA177" i="3"/>
  <c r="DB177" i="3"/>
  <c r="DC177" i="3"/>
  <c r="DF177" i="3"/>
  <c r="DG177" i="3"/>
  <c r="DH177" i="3"/>
  <c r="DI177" i="3"/>
  <c r="DJ177" i="3"/>
  <c r="A178" i="3"/>
  <c r="Y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W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W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Y182" i="3"/>
  <c r="CZ182" i="3"/>
  <c r="DA182" i="3"/>
  <c r="DB182" i="3"/>
  <c r="DC182" i="3"/>
  <c r="A183" i="3"/>
  <c r="Y183" i="3"/>
  <c r="CY183" i="3"/>
  <c r="CZ183" i="3"/>
  <c r="DA183" i="3"/>
  <c r="DB183" i="3"/>
  <c r="DC183" i="3"/>
  <c r="A184" i="3"/>
  <c r="Y184" i="3"/>
  <c r="CY184" i="3"/>
  <c r="CZ184" i="3"/>
  <c r="DA184" i="3"/>
  <c r="DB184" i="3"/>
  <c r="DC184" i="3"/>
  <c r="A185" i="3"/>
  <c r="Y185" i="3"/>
  <c r="CY185" i="3"/>
  <c r="CZ185" i="3"/>
  <c r="DA185" i="3"/>
  <c r="DB185" i="3"/>
  <c r="DC185" i="3"/>
  <c r="A186" i="3"/>
  <c r="Y186" i="3"/>
  <c r="CY186" i="3"/>
  <c r="CZ186" i="3"/>
  <c r="DA186" i="3"/>
  <c r="DB186" i="3"/>
  <c r="DC186" i="3"/>
  <c r="A187" i="3"/>
  <c r="Y187" i="3"/>
  <c r="CY187" i="3"/>
  <c r="CZ187" i="3"/>
  <c r="DA187" i="3"/>
  <c r="DB187" i="3"/>
  <c r="DC187" i="3"/>
  <c r="A188" i="3"/>
  <c r="Y188" i="3"/>
  <c r="CY188" i="3"/>
  <c r="CZ188" i="3"/>
  <c r="DA188" i="3"/>
  <c r="DB188" i="3"/>
  <c r="DC188" i="3"/>
  <c r="A189" i="3"/>
  <c r="Y189" i="3"/>
  <c r="CY189" i="3"/>
  <c r="CZ189" i="3"/>
  <c r="DA189" i="3"/>
  <c r="DB189" i="3"/>
  <c r="DC189" i="3"/>
  <c r="A190" i="3"/>
  <c r="Y190" i="3"/>
  <c r="CY190" i="3"/>
  <c r="CZ190" i="3"/>
  <c r="DA190" i="3"/>
  <c r="DB190" i="3"/>
  <c r="DC190" i="3"/>
  <c r="A191" i="3"/>
  <c r="Y191" i="3"/>
  <c r="CY191" i="3"/>
  <c r="CZ191" i="3"/>
  <c r="DA191" i="3"/>
  <c r="DB191" i="3"/>
  <c r="DC191" i="3"/>
  <c r="A192" i="3"/>
  <c r="Y192" i="3"/>
  <c r="CY192" i="3"/>
  <c r="CZ192" i="3"/>
  <c r="DA192" i="3"/>
  <c r="DB192" i="3"/>
  <c r="DC192" i="3"/>
  <c r="A193" i="3"/>
  <c r="Y193" i="3"/>
  <c r="CY193" i="3"/>
  <c r="CZ193" i="3"/>
  <c r="DA193" i="3"/>
  <c r="DB193" i="3"/>
  <c r="DC193" i="3"/>
  <c r="A194" i="3"/>
  <c r="Y194" i="3"/>
  <c r="CY194" i="3"/>
  <c r="CZ194" i="3"/>
  <c r="DA194" i="3"/>
  <c r="DB194" i="3"/>
  <c r="DC194" i="3"/>
  <c r="A195" i="3"/>
  <c r="Y195" i="3"/>
  <c r="CY195" i="3"/>
  <c r="CZ195" i="3"/>
  <c r="DA195" i="3"/>
  <c r="DB195" i="3"/>
  <c r="DC195" i="3"/>
  <c r="A196" i="3"/>
  <c r="Y196" i="3"/>
  <c r="CY196" i="3"/>
  <c r="CZ196" i="3"/>
  <c r="DA196" i="3"/>
  <c r="DB196" i="3"/>
  <c r="DC196" i="3"/>
  <c r="A197" i="3"/>
  <c r="Y197" i="3"/>
  <c r="CY197" i="3"/>
  <c r="CZ197" i="3"/>
  <c r="DA197" i="3"/>
  <c r="DB197" i="3"/>
  <c r="DC197" i="3"/>
  <c r="A198" i="3"/>
  <c r="Y198" i="3"/>
  <c r="CU198" i="3"/>
  <c r="CV198" i="3"/>
  <c r="CX198" i="3"/>
  <c r="CY198" i="3"/>
  <c r="CZ198" i="3"/>
  <c r="DA198" i="3"/>
  <c r="DB198" i="3"/>
  <c r="DC198" i="3"/>
  <c r="DF198" i="3"/>
  <c r="DG198" i="3"/>
  <c r="DH198" i="3"/>
  <c r="DI198" i="3"/>
  <c r="DJ198" i="3"/>
  <c r="A199" i="3"/>
  <c r="Y199" i="3"/>
  <c r="CX199" i="3"/>
  <c r="CY199" i="3"/>
  <c r="CZ199" i="3"/>
  <c r="DA199" i="3"/>
  <c r="DB199" i="3"/>
  <c r="DC199" i="3"/>
  <c r="DF199" i="3"/>
  <c r="DG199" i="3"/>
  <c r="DH199" i="3"/>
  <c r="DI199" i="3"/>
  <c r="DJ199" i="3"/>
  <c r="A200" i="3"/>
  <c r="Y200" i="3"/>
  <c r="CW200" i="3"/>
  <c r="CX200" i="3"/>
  <c r="CY200" i="3"/>
  <c r="CZ200" i="3"/>
  <c r="DA200" i="3"/>
  <c r="DB200" i="3"/>
  <c r="DC200" i="3"/>
  <c r="DF200" i="3"/>
  <c r="DG200" i="3"/>
  <c r="DH200" i="3"/>
  <c r="DI200" i="3"/>
  <c r="DJ200" i="3"/>
  <c r="A201" i="3"/>
  <c r="Y201" i="3"/>
  <c r="CW201" i="3"/>
  <c r="CX201" i="3"/>
  <c r="CY201" i="3"/>
  <c r="CZ201" i="3"/>
  <c r="DA201" i="3"/>
  <c r="DB201" i="3"/>
  <c r="DC201" i="3"/>
  <c r="DF201" i="3"/>
  <c r="DG201" i="3"/>
  <c r="DH201" i="3"/>
  <c r="DI201" i="3"/>
  <c r="DJ201" i="3"/>
  <c r="A202" i="3"/>
  <c r="Y202" i="3"/>
  <c r="CW202" i="3"/>
  <c r="CX202" i="3"/>
  <c r="CY202" i="3"/>
  <c r="CZ202" i="3"/>
  <c r="DA202" i="3"/>
  <c r="DB202" i="3"/>
  <c r="DC202" i="3"/>
  <c r="DF202" i="3"/>
  <c r="DG202" i="3"/>
  <c r="DH202" i="3"/>
  <c r="DI202" i="3"/>
  <c r="DJ202" i="3"/>
  <c r="A203" i="3"/>
  <c r="Y203" i="3"/>
  <c r="CX203" i="3"/>
  <c r="CY203" i="3"/>
  <c r="CZ203" i="3"/>
  <c r="DA203" i="3"/>
  <c r="DB203" i="3"/>
  <c r="DC203" i="3"/>
  <c r="DF203" i="3"/>
  <c r="DG203" i="3"/>
  <c r="DH203" i="3"/>
  <c r="DI203" i="3"/>
  <c r="DJ203" i="3"/>
  <c r="A204" i="3"/>
  <c r="Y204" i="3"/>
  <c r="CX204" i="3"/>
  <c r="CY204" i="3"/>
  <c r="CZ204" i="3"/>
  <c r="DA204" i="3"/>
  <c r="DB204" i="3"/>
  <c r="DC204" i="3"/>
  <c r="DF204" i="3"/>
  <c r="DG204" i="3"/>
  <c r="DH204" i="3"/>
  <c r="DI204" i="3"/>
  <c r="DJ204" i="3"/>
  <c r="A205" i="3"/>
  <c r="Y205" i="3"/>
  <c r="CX205" i="3"/>
  <c r="CY205" i="3"/>
  <c r="CZ205" i="3"/>
  <c r="DA205" i="3"/>
  <c r="DB205" i="3"/>
  <c r="DC205" i="3"/>
  <c r="DF205" i="3"/>
  <c r="DG205" i="3"/>
  <c r="DH205" i="3"/>
  <c r="DI205" i="3"/>
  <c r="DJ205" i="3"/>
  <c r="A206" i="3"/>
  <c r="Y206" i="3"/>
  <c r="CX206" i="3"/>
  <c r="CY206" i="3"/>
  <c r="CZ206" i="3"/>
  <c r="DA206" i="3"/>
  <c r="DB206" i="3"/>
  <c r="DC206" i="3"/>
  <c r="DF206" i="3"/>
  <c r="DG206" i="3"/>
  <c r="DH206" i="3"/>
  <c r="DI206" i="3"/>
  <c r="DJ206" i="3"/>
  <c r="A207" i="3"/>
  <c r="Y207" i="3"/>
  <c r="CU207" i="3"/>
  <c r="CV207" i="3"/>
  <c r="CX207" i="3"/>
  <c r="CY207" i="3"/>
  <c r="CZ207" i="3"/>
  <c r="DA207" i="3"/>
  <c r="DB207" i="3"/>
  <c r="DC207" i="3"/>
  <c r="DF207" i="3"/>
  <c r="DG207" i="3"/>
  <c r="DH207" i="3"/>
  <c r="DI207" i="3"/>
  <c r="DJ207" i="3"/>
  <c r="A208" i="3"/>
  <c r="Y208" i="3"/>
  <c r="CX208" i="3"/>
  <c r="CY208" i="3"/>
  <c r="CZ208" i="3"/>
  <c r="DA208" i="3"/>
  <c r="DB208" i="3"/>
  <c r="DC208" i="3"/>
  <c r="DF208" i="3"/>
  <c r="DG208" i="3"/>
  <c r="DH208" i="3"/>
  <c r="DI208" i="3"/>
  <c r="DJ208" i="3"/>
  <c r="A209" i="3"/>
  <c r="Y209" i="3"/>
  <c r="CW209" i="3"/>
  <c r="CX209" i="3"/>
  <c r="CY209" i="3"/>
  <c r="CZ209" i="3"/>
  <c r="DA209" i="3"/>
  <c r="DB209" i="3"/>
  <c r="DC209" i="3"/>
  <c r="DF209" i="3"/>
  <c r="DG209" i="3"/>
  <c r="DH209" i="3"/>
  <c r="DI209" i="3"/>
  <c r="DJ209" i="3"/>
  <c r="A210" i="3"/>
  <c r="Y210" i="3"/>
  <c r="CW210" i="3"/>
  <c r="CX210" i="3"/>
  <c r="CY210" i="3"/>
  <c r="CZ210" i="3"/>
  <c r="DA210" i="3"/>
  <c r="DB210" i="3"/>
  <c r="DC210" i="3"/>
  <c r="DF210" i="3"/>
  <c r="DG210" i="3"/>
  <c r="DH210" i="3"/>
  <c r="DI210" i="3"/>
  <c r="DJ210" i="3"/>
  <c r="A211" i="3"/>
  <c r="Y211" i="3"/>
  <c r="CX211" i="3"/>
  <c r="CY211" i="3"/>
  <c r="CZ211" i="3"/>
  <c r="DA211" i="3"/>
  <c r="DB211" i="3"/>
  <c r="DC211" i="3"/>
  <c r="DF211" i="3"/>
  <c r="DG211" i="3"/>
  <c r="DH211" i="3"/>
  <c r="DI211" i="3"/>
  <c r="DJ211" i="3"/>
  <c r="A212" i="3"/>
  <c r="Y212" i="3"/>
  <c r="CX212" i="3"/>
  <c r="CY212" i="3"/>
  <c r="CZ212" i="3"/>
  <c r="DA212" i="3"/>
  <c r="DB212" i="3"/>
  <c r="DC212" i="3"/>
  <c r="DF212" i="3"/>
  <c r="DG212" i="3"/>
  <c r="DH212" i="3"/>
  <c r="DI212" i="3"/>
  <c r="DJ212" i="3"/>
  <c r="A213" i="3"/>
  <c r="Y213" i="3"/>
  <c r="CU213" i="3"/>
  <c r="CV213" i="3"/>
  <c r="CX213" i="3"/>
  <c r="CY213" i="3"/>
  <c r="CZ213" i="3"/>
  <c r="DA213" i="3"/>
  <c r="DB213" i="3"/>
  <c r="DC213" i="3"/>
  <c r="DF213" i="3"/>
  <c r="DG213" i="3"/>
  <c r="DH213" i="3"/>
  <c r="DI213" i="3"/>
  <c r="DJ213" i="3"/>
  <c r="A214" i="3"/>
  <c r="Y214" i="3"/>
  <c r="CX214" i="3"/>
  <c r="CY214" i="3"/>
  <c r="CZ214" i="3"/>
  <c r="DA214" i="3"/>
  <c r="DB214" i="3"/>
  <c r="DC214" i="3"/>
  <c r="DF214" i="3"/>
  <c r="DG214" i="3"/>
  <c r="DH214" i="3"/>
  <c r="DI214" i="3"/>
  <c r="DJ214" i="3"/>
  <c r="A215" i="3"/>
  <c r="Y215" i="3"/>
  <c r="CW215" i="3"/>
  <c r="CX215" i="3"/>
  <c r="CY215" i="3"/>
  <c r="CZ215" i="3"/>
  <c r="DA215" i="3"/>
  <c r="DB215" i="3"/>
  <c r="DC215" i="3"/>
  <c r="DF215" i="3"/>
  <c r="DG215" i="3"/>
  <c r="DH215" i="3"/>
  <c r="DI215" i="3"/>
  <c r="DJ215" i="3"/>
  <c r="A216" i="3"/>
  <c r="Y216" i="3"/>
  <c r="CW216" i="3"/>
  <c r="CX216" i="3"/>
  <c r="CY216" i="3"/>
  <c r="CZ216" i="3"/>
  <c r="DA216" i="3"/>
  <c r="DB216" i="3"/>
  <c r="DC216" i="3"/>
  <c r="DF216" i="3"/>
  <c r="DG216" i="3"/>
  <c r="DH216" i="3"/>
  <c r="DI216" i="3"/>
  <c r="DJ216" i="3"/>
  <c r="A217" i="3"/>
  <c r="Y217" i="3"/>
  <c r="CX217" i="3"/>
  <c r="CY217" i="3"/>
  <c r="CZ217" i="3"/>
  <c r="DA217" i="3"/>
  <c r="DB217" i="3"/>
  <c r="DC217" i="3"/>
  <c r="DF217" i="3"/>
  <c r="DG217" i="3"/>
  <c r="DH217" i="3"/>
  <c r="DI217" i="3"/>
  <c r="DJ217" i="3"/>
  <c r="A218" i="3"/>
  <c r="Y218" i="3"/>
  <c r="CX218" i="3"/>
  <c r="CY218" i="3"/>
  <c r="CZ218" i="3"/>
  <c r="DA218" i="3"/>
  <c r="DB218" i="3"/>
  <c r="DC218" i="3"/>
  <c r="DF218" i="3"/>
  <c r="DG218" i="3"/>
  <c r="DH218" i="3"/>
  <c r="DI218" i="3"/>
  <c r="DJ218" i="3"/>
  <c r="A219" i="3"/>
  <c r="Y219" i="3"/>
  <c r="CX219" i="3"/>
  <c r="CY219" i="3"/>
  <c r="CZ219" i="3"/>
  <c r="DA219" i="3"/>
  <c r="DB219" i="3"/>
  <c r="DC219" i="3"/>
  <c r="DF219" i="3"/>
  <c r="DG219" i="3"/>
  <c r="DH219" i="3"/>
  <c r="DI219" i="3"/>
  <c r="DJ219" i="3"/>
  <c r="A220" i="3"/>
  <c r="Y220" i="3"/>
  <c r="CX220" i="3"/>
  <c r="CY220" i="3"/>
  <c r="CZ220" i="3"/>
  <c r="DA220" i="3"/>
  <c r="DB220" i="3"/>
  <c r="DC220" i="3"/>
  <c r="DF220" i="3"/>
  <c r="DG220" i="3"/>
  <c r="DH220" i="3"/>
  <c r="DI220" i="3"/>
  <c r="DJ220" i="3"/>
  <c r="A221" i="3"/>
  <c r="Y221" i="3"/>
  <c r="CX221" i="3"/>
  <c r="CY221" i="3"/>
  <c r="CZ221" i="3"/>
  <c r="DA221" i="3"/>
  <c r="DB221" i="3"/>
  <c r="DC221" i="3"/>
  <c r="DF221" i="3"/>
  <c r="DG221" i="3"/>
  <c r="DH221" i="3"/>
  <c r="DI221" i="3"/>
  <c r="DJ221" i="3"/>
  <c r="A222" i="3"/>
  <c r="Y222" i="3"/>
  <c r="CX222" i="3"/>
  <c r="CY222" i="3"/>
  <c r="CZ222" i="3"/>
  <c r="DA222" i="3"/>
  <c r="DB222" i="3"/>
  <c r="DC222" i="3"/>
  <c r="DF222" i="3"/>
  <c r="DG222" i="3"/>
  <c r="DH222" i="3"/>
  <c r="DI222" i="3"/>
  <c r="DJ222" i="3"/>
  <c r="A223" i="3"/>
  <c r="Y223" i="3"/>
  <c r="CX223" i="3"/>
  <c r="CY223" i="3"/>
  <c r="CZ223" i="3"/>
  <c r="DA223" i="3"/>
  <c r="DB223" i="3"/>
  <c r="DC223" i="3"/>
  <c r="DF223" i="3"/>
  <c r="DG223" i="3"/>
  <c r="DH223" i="3"/>
  <c r="DI223" i="3"/>
  <c r="DJ223" i="3"/>
  <c r="A224" i="3"/>
  <c r="Y224" i="3"/>
  <c r="CX224" i="3"/>
  <c r="CY224" i="3"/>
  <c r="CZ224" i="3"/>
  <c r="DA224" i="3"/>
  <c r="DB224" i="3"/>
  <c r="DC224" i="3"/>
  <c r="DF224" i="3"/>
  <c r="DG224" i="3"/>
  <c r="DH224" i="3"/>
  <c r="DI224" i="3"/>
  <c r="DJ224" i="3"/>
  <c r="A225" i="3"/>
  <c r="Y225" i="3"/>
  <c r="CX225" i="3"/>
  <c r="CY225" i="3"/>
  <c r="CZ225" i="3"/>
  <c r="DA225" i="3"/>
  <c r="DB225" i="3"/>
  <c r="DC225" i="3"/>
  <c r="DF225" i="3"/>
  <c r="DG225" i="3"/>
  <c r="DH225" i="3"/>
  <c r="DI225" i="3"/>
  <c r="DJ225" i="3"/>
  <c r="A226" i="3"/>
  <c r="Y226" i="3"/>
  <c r="CX226" i="3"/>
  <c r="CY226" i="3"/>
  <c r="CZ226" i="3"/>
  <c r="DA226" i="3"/>
  <c r="DB226" i="3"/>
  <c r="DC226" i="3"/>
  <c r="DF226" i="3"/>
  <c r="DG226" i="3"/>
  <c r="DH226" i="3"/>
  <c r="DI226" i="3"/>
  <c r="DJ226" i="3"/>
  <c r="A227" i="3"/>
  <c r="Y227" i="3"/>
  <c r="CX227" i="3"/>
  <c r="CY227" i="3"/>
  <c r="CZ227" i="3"/>
  <c r="DA227" i="3"/>
  <c r="DB227" i="3"/>
  <c r="DC227" i="3"/>
  <c r="DF227" i="3"/>
  <c r="DG227" i="3"/>
  <c r="DH227" i="3"/>
  <c r="DI227" i="3"/>
  <c r="DJ227" i="3"/>
  <c r="A228" i="3"/>
  <c r="Y228" i="3"/>
  <c r="CY228" i="3"/>
  <c r="CZ228" i="3"/>
  <c r="DA228" i="3"/>
  <c r="DB228" i="3"/>
  <c r="DC228" i="3"/>
  <c r="A229" i="3"/>
  <c r="Y229" i="3"/>
  <c r="CY229" i="3"/>
  <c r="CZ229" i="3"/>
  <c r="DA229" i="3"/>
  <c r="DB229" i="3"/>
  <c r="DC229" i="3"/>
  <c r="A230" i="3"/>
  <c r="Y230" i="3"/>
  <c r="CY230" i="3"/>
  <c r="CZ230" i="3"/>
  <c r="DA230" i="3"/>
  <c r="DB230" i="3"/>
  <c r="DC230" i="3"/>
  <c r="A231" i="3"/>
  <c r="Y231" i="3"/>
  <c r="CY231" i="3"/>
  <c r="CZ231" i="3"/>
  <c r="DA231" i="3"/>
  <c r="DB231" i="3"/>
  <c r="DC231" i="3"/>
  <c r="A232" i="3"/>
  <c r="Y232" i="3"/>
  <c r="CY232" i="3"/>
  <c r="CZ232" i="3"/>
  <c r="DA232" i="3"/>
  <c r="DB232" i="3"/>
  <c r="DC232" i="3"/>
  <c r="A233" i="3"/>
  <c r="Y233" i="3"/>
  <c r="CY233" i="3"/>
  <c r="CZ233" i="3"/>
  <c r="DA233" i="3"/>
  <c r="DB233" i="3"/>
  <c r="DC233" i="3"/>
  <c r="A234" i="3"/>
  <c r="Y234" i="3"/>
  <c r="CY234" i="3"/>
  <c r="CZ234" i="3"/>
  <c r="DA234" i="3"/>
  <c r="DB234" i="3"/>
  <c r="DC234" i="3"/>
  <c r="A235" i="3"/>
  <c r="Y235" i="3"/>
  <c r="CY235" i="3"/>
  <c r="CZ235" i="3"/>
  <c r="DA235" i="3"/>
  <c r="DB235" i="3"/>
  <c r="DC235" i="3"/>
  <c r="A236" i="3"/>
  <c r="Y236" i="3"/>
  <c r="CY236" i="3"/>
  <c r="CZ236" i="3"/>
  <c r="DA236" i="3"/>
  <c r="DB236" i="3"/>
  <c r="DC236" i="3"/>
  <c r="A237" i="3"/>
  <c r="Y237" i="3"/>
  <c r="CU237" i="3"/>
  <c r="CV237" i="3"/>
  <c r="CX237" i="3"/>
  <c r="CY237" i="3"/>
  <c r="CZ237" i="3"/>
  <c r="DA237" i="3"/>
  <c r="DB237" i="3"/>
  <c r="DC237" i="3"/>
  <c r="DF237" i="3"/>
  <c r="DG237" i="3"/>
  <c r="DH237" i="3"/>
  <c r="DI237" i="3"/>
  <c r="DJ237" i="3"/>
  <c r="A238" i="3"/>
  <c r="Y238" i="3"/>
  <c r="CU238" i="3"/>
  <c r="CV238" i="3"/>
  <c r="CX238" i="3"/>
  <c r="CY238" i="3"/>
  <c r="CZ238" i="3"/>
  <c r="DA238" i="3"/>
  <c r="DB238" i="3"/>
  <c r="DC238" i="3"/>
  <c r="DF238" i="3"/>
  <c r="DG238" i="3"/>
  <c r="DH238" i="3"/>
  <c r="DI238" i="3"/>
  <c r="DJ238" i="3"/>
  <c r="A239" i="3"/>
  <c r="Y239" i="3"/>
  <c r="CU239" i="3"/>
  <c r="CV239" i="3"/>
  <c r="CX239" i="3"/>
  <c r="CY239" i="3"/>
  <c r="CZ239" i="3"/>
  <c r="DA239" i="3"/>
  <c r="DB239" i="3"/>
  <c r="DC239" i="3"/>
  <c r="DF239" i="3"/>
  <c r="DG239" i="3"/>
  <c r="DH239" i="3"/>
  <c r="DI239" i="3"/>
  <c r="DJ239" i="3"/>
  <c r="A240" i="3"/>
  <c r="Y240" i="3"/>
  <c r="CU240" i="3"/>
  <c r="CV240" i="3"/>
  <c r="CX240" i="3"/>
  <c r="CY240" i="3"/>
  <c r="CZ240" i="3"/>
  <c r="DA240" i="3"/>
  <c r="DB240" i="3"/>
  <c r="DC240" i="3"/>
  <c r="DF240" i="3"/>
  <c r="DG240" i="3"/>
  <c r="DH240" i="3"/>
  <c r="DI240" i="3"/>
  <c r="DJ240" i="3"/>
  <c r="A241" i="3"/>
  <c r="Y241" i="3"/>
  <c r="CX241" i="3"/>
  <c r="CY241" i="3"/>
  <c r="CZ241" i="3"/>
  <c r="DA241" i="3"/>
  <c r="DB241" i="3"/>
  <c r="DC241" i="3"/>
  <c r="DF241" i="3"/>
  <c r="DG241" i="3"/>
  <c r="DH241" i="3"/>
  <c r="DI241" i="3"/>
  <c r="DJ241" i="3"/>
  <c r="A242" i="3"/>
  <c r="Y242" i="3"/>
  <c r="CW242" i="3"/>
  <c r="CX242" i="3"/>
  <c r="CY242" i="3"/>
  <c r="CZ242" i="3"/>
  <c r="DA242" i="3"/>
  <c r="DB242" i="3"/>
  <c r="DC242" i="3"/>
  <c r="DF242" i="3"/>
  <c r="DG242" i="3"/>
  <c r="DH242" i="3"/>
  <c r="DI242" i="3"/>
  <c r="DJ242" i="3"/>
  <c r="A243" i="3"/>
  <c r="Y243" i="3"/>
  <c r="CW243" i="3"/>
  <c r="CX243" i="3"/>
  <c r="CY243" i="3"/>
  <c r="CZ243" i="3"/>
  <c r="DA243" i="3"/>
  <c r="DB243" i="3"/>
  <c r="DC243" i="3"/>
  <c r="DF243" i="3"/>
  <c r="DG243" i="3"/>
  <c r="DH243" i="3"/>
  <c r="DI243" i="3"/>
  <c r="DJ243" i="3"/>
  <c r="A244" i="3"/>
  <c r="Y244" i="3"/>
  <c r="CW244" i="3"/>
  <c r="CX244" i="3"/>
  <c r="CY244" i="3"/>
  <c r="CZ244" i="3"/>
  <c r="DA244" i="3"/>
  <c r="DB244" i="3"/>
  <c r="DC244" i="3"/>
  <c r="DF244" i="3"/>
  <c r="DG244" i="3"/>
  <c r="DH244" i="3"/>
  <c r="DI244" i="3"/>
  <c r="DJ244" i="3"/>
  <c r="A245" i="3"/>
  <c r="Y245" i="3"/>
  <c r="CW245" i="3"/>
  <c r="CX245" i="3"/>
  <c r="CY245" i="3"/>
  <c r="CZ245" i="3"/>
  <c r="DA245" i="3"/>
  <c r="DB245" i="3"/>
  <c r="DC245" i="3"/>
  <c r="DF245" i="3"/>
  <c r="DG245" i="3"/>
  <c r="DH245" i="3"/>
  <c r="DI245" i="3"/>
  <c r="DJ245" i="3"/>
  <c r="A246" i="3"/>
  <c r="Y246" i="3"/>
  <c r="CW246" i="3"/>
  <c r="CX246" i="3"/>
  <c r="CY246" i="3"/>
  <c r="CZ246" i="3"/>
  <c r="DA246" i="3"/>
  <c r="DB246" i="3"/>
  <c r="DC246" i="3"/>
  <c r="DF246" i="3"/>
  <c r="DG246" i="3"/>
  <c r="DH246" i="3"/>
  <c r="DI246" i="3"/>
  <c r="DJ246" i="3"/>
  <c r="A247" i="3"/>
  <c r="Y247" i="3"/>
  <c r="CU247" i="3"/>
  <c r="CV247" i="3"/>
  <c r="CX247" i="3"/>
  <c r="CY247" i="3"/>
  <c r="CZ247" i="3"/>
  <c r="DA247" i="3"/>
  <c r="DB247" i="3"/>
  <c r="DC247" i="3"/>
  <c r="DF247" i="3"/>
  <c r="DG247" i="3"/>
  <c r="DH247" i="3"/>
  <c r="DI247" i="3"/>
  <c r="DJ247" i="3"/>
  <c r="A248" i="3"/>
  <c r="Y248" i="3"/>
  <c r="CX248" i="3"/>
  <c r="CY248" i="3"/>
  <c r="CZ248" i="3"/>
  <c r="DA248" i="3"/>
  <c r="DB248" i="3"/>
  <c r="DC248" i="3"/>
  <c r="DF248" i="3"/>
  <c r="DG248" i="3"/>
  <c r="DH248" i="3"/>
  <c r="DI248" i="3"/>
  <c r="DJ248" i="3"/>
  <c r="A249" i="3"/>
  <c r="Y249" i="3"/>
  <c r="CW249" i="3"/>
  <c r="CX249" i="3"/>
  <c r="CY249" i="3"/>
  <c r="CZ249" i="3"/>
  <c r="DA249" i="3"/>
  <c r="DB249" i="3"/>
  <c r="DC249" i="3"/>
  <c r="DF249" i="3"/>
  <c r="DG249" i="3"/>
  <c r="DH249" i="3"/>
  <c r="DI249" i="3"/>
  <c r="DJ249" i="3"/>
  <c r="A250" i="3"/>
  <c r="Y250" i="3"/>
  <c r="CW250" i="3"/>
  <c r="CX250" i="3"/>
  <c r="CY250" i="3"/>
  <c r="CZ250" i="3"/>
  <c r="DA250" i="3"/>
  <c r="DB250" i="3"/>
  <c r="DC250" i="3"/>
  <c r="DF250" i="3"/>
  <c r="DG250" i="3"/>
  <c r="DH250" i="3"/>
  <c r="DI250" i="3"/>
  <c r="DJ250" i="3"/>
  <c r="A251" i="3"/>
  <c r="Y251" i="3"/>
  <c r="CX251" i="3"/>
  <c r="CY251" i="3"/>
  <c r="CZ251" i="3"/>
  <c r="DA251" i="3"/>
  <c r="DB251" i="3"/>
  <c r="DC251" i="3"/>
  <c r="DF251" i="3"/>
  <c r="DG251" i="3"/>
  <c r="DH251" i="3"/>
  <c r="DI251" i="3"/>
  <c r="DJ251" i="3"/>
  <c r="A252" i="3"/>
  <c r="Y252" i="3"/>
  <c r="CY252" i="3"/>
  <c r="CZ252" i="3"/>
  <c r="DA252" i="3"/>
  <c r="DB252" i="3"/>
  <c r="DC252" i="3"/>
  <c r="A253" i="3"/>
  <c r="Y253" i="3"/>
  <c r="CY253" i="3"/>
  <c r="CZ253" i="3"/>
  <c r="DA253" i="3"/>
  <c r="DB253" i="3"/>
  <c r="DC253" i="3"/>
  <c r="A254" i="3"/>
  <c r="Y254" i="3"/>
  <c r="CY254" i="3"/>
  <c r="CZ254" i="3"/>
  <c r="DA254" i="3"/>
  <c r="DB254" i="3"/>
  <c r="DC254" i="3"/>
  <c r="A255" i="3"/>
  <c r="Y255" i="3"/>
  <c r="CY255" i="3"/>
  <c r="CZ255" i="3"/>
  <c r="DA255" i="3"/>
  <c r="DB255" i="3"/>
  <c r="DC255" i="3"/>
  <c r="A256" i="3"/>
  <c r="Y256" i="3"/>
  <c r="CY256" i="3"/>
  <c r="CZ256" i="3"/>
  <c r="DA256" i="3"/>
  <c r="DB256" i="3"/>
  <c r="DC256" i="3"/>
  <c r="A257" i="3"/>
  <c r="Y257" i="3"/>
  <c r="CY257" i="3"/>
  <c r="CZ257" i="3"/>
  <c r="DA257" i="3"/>
  <c r="DB257" i="3"/>
  <c r="DC257" i="3"/>
  <c r="A258" i="3"/>
  <c r="Y258" i="3"/>
  <c r="CY258" i="3"/>
  <c r="CZ258" i="3"/>
  <c r="DA258" i="3"/>
  <c r="DB258" i="3"/>
  <c r="DC258" i="3"/>
  <c r="A259" i="3"/>
  <c r="Y259" i="3"/>
  <c r="CY259" i="3"/>
  <c r="CZ259" i="3"/>
  <c r="DA259" i="3"/>
  <c r="DB259" i="3"/>
  <c r="DC259" i="3"/>
  <c r="A260" i="3"/>
  <c r="Y260" i="3"/>
  <c r="CY260" i="3"/>
  <c r="CZ260" i="3"/>
  <c r="DA260" i="3"/>
  <c r="DB260" i="3"/>
  <c r="DC260" i="3"/>
  <c r="A261" i="3"/>
  <c r="Y261" i="3"/>
  <c r="CY261" i="3"/>
  <c r="CZ261" i="3"/>
  <c r="DA261" i="3"/>
  <c r="DB261" i="3"/>
  <c r="DC261" i="3"/>
  <c r="A262" i="3"/>
  <c r="Y262" i="3"/>
  <c r="CY262" i="3"/>
  <c r="CZ262" i="3"/>
  <c r="DA262" i="3"/>
  <c r="DB262" i="3"/>
  <c r="DC262" i="3"/>
  <c r="A263" i="3"/>
  <c r="Y263" i="3"/>
  <c r="CY263" i="3"/>
  <c r="CZ263" i="3"/>
  <c r="DA263" i="3"/>
  <c r="DB263" i="3"/>
  <c r="DC263" i="3"/>
  <c r="A264" i="3"/>
  <c r="Y264" i="3"/>
  <c r="CY264" i="3"/>
  <c r="CZ264" i="3"/>
  <c r="DA264" i="3"/>
  <c r="DB264" i="3"/>
  <c r="DC264" i="3"/>
  <c r="A265" i="3"/>
  <c r="Y265" i="3"/>
  <c r="CY265" i="3"/>
  <c r="CZ265" i="3"/>
  <c r="DA265" i="3"/>
  <c r="DB265" i="3"/>
  <c r="DC265" i="3"/>
  <c r="A266" i="3"/>
  <c r="Y266" i="3"/>
  <c r="CY266" i="3"/>
  <c r="CZ266" i="3"/>
  <c r="DA266" i="3"/>
  <c r="DB266" i="3"/>
  <c r="DC266" i="3"/>
  <c r="A267" i="3"/>
  <c r="Y267" i="3"/>
  <c r="CY267" i="3"/>
  <c r="CZ267" i="3"/>
  <c r="DA267" i="3"/>
  <c r="DB267" i="3"/>
  <c r="DC267" i="3"/>
  <c r="A268" i="3"/>
  <c r="Y268" i="3"/>
  <c r="CY268" i="3"/>
  <c r="CZ268" i="3"/>
  <c r="DA268" i="3"/>
  <c r="DB268" i="3"/>
  <c r="DC268" i="3"/>
  <c r="A269" i="3"/>
  <c r="Y269" i="3"/>
  <c r="CY269" i="3"/>
  <c r="CZ269" i="3"/>
  <c r="DA269" i="3"/>
  <c r="DB269" i="3"/>
  <c r="DC269" i="3"/>
  <c r="A270" i="3"/>
  <c r="Y270" i="3"/>
  <c r="CY270" i="3"/>
  <c r="CZ270" i="3"/>
  <c r="DA270" i="3"/>
  <c r="DB270" i="3"/>
  <c r="DC270" i="3"/>
  <c r="A271" i="3"/>
  <c r="Y271" i="3"/>
  <c r="CY271" i="3"/>
  <c r="CZ271" i="3"/>
  <c r="DA271" i="3"/>
  <c r="DB271" i="3"/>
  <c r="DC271" i="3"/>
  <c r="A272" i="3"/>
  <c r="Y272" i="3"/>
  <c r="CY272" i="3"/>
  <c r="CZ272" i="3"/>
  <c r="DA272" i="3"/>
  <c r="DB272" i="3"/>
  <c r="DC272" i="3"/>
  <c r="A273" i="3"/>
  <c r="Y273" i="3"/>
  <c r="CY273" i="3"/>
  <c r="CZ273" i="3"/>
  <c r="DA273" i="3"/>
  <c r="DB273" i="3"/>
  <c r="DC273" i="3"/>
  <c r="A274" i="3"/>
  <c r="Y274" i="3"/>
  <c r="CY274" i="3"/>
  <c r="CZ274" i="3"/>
  <c r="DA274" i="3"/>
  <c r="DB274" i="3"/>
  <c r="DC274" i="3"/>
  <c r="A275" i="3"/>
  <c r="Y275" i="3"/>
  <c r="CY275" i="3"/>
  <c r="CZ275" i="3"/>
  <c r="DA275" i="3"/>
  <c r="DB275" i="3"/>
  <c r="DC275" i="3"/>
  <c r="A276" i="3"/>
  <c r="Y276" i="3"/>
  <c r="CY276" i="3"/>
  <c r="CZ276" i="3"/>
  <c r="DA276" i="3"/>
  <c r="DB276" i="3"/>
  <c r="DC276" i="3"/>
  <c r="A277" i="3"/>
  <c r="Y277" i="3"/>
  <c r="CY277" i="3"/>
  <c r="CZ277" i="3"/>
  <c r="DA277" i="3"/>
  <c r="DB277" i="3"/>
  <c r="DC277" i="3"/>
  <c r="A278" i="3"/>
  <c r="Y278" i="3"/>
  <c r="CY278" i="3"/>
  <c r="CZ278" i="3"/>
  <c r="DA278" i="3"/>
  <c r="DB278" i="3"/>
  <c r="DC278" i="3"/>
  <c r="A279" i="3"/>
  <c r="Y279" i="3"/>
  <c r="CY279" i="3"/>
  <c r="CZ279" i="3"/>
  <c r="DA279" i="3"/>
  <c r="DB279" i="3"/>
  <c r="DC279" i="3"/>
  <c r="A280" i="3"/>
  <c r="Y280" i="3"/>
  <c r="CY280" i="3"/>
  <c r="CZ280" i="3"/>
  <c r="DA280" i="3"/>
  <c r="DB280" i="3"/>
  <c r="DC280" i="3"/>
  <c r="A281" i="3"/>
  <c r="Y281" i="3"/>
  <c r="CY281" i="3"/>
  <c r="CZ281" i="3"/>
  <c r="DA281" i="3"/>
  <c r="DB281" i="3"/>
  <c r="DC281" i="3"/>
  <c r="A282" i="3"/>
  <c r="Y282" i="3"/>
  <c r="CY282" i="3"/>
  <c r="CZ282" i="3"/>
  <c r="DA282" i="3"/>
  <c r="DB282" i="3"/>
  <c r="DC282" i="3"/>
  <c r="A283" i="3"/>
  <c r="Y283" i="3"/>
  <c r="CY283" i="3"/>
  <c r="CZ283" i="3"/>
  <c r="DA283" i="3"/>
  <c r="DB283" i="3"/>
  <c r="DC283" i="3"/>
  <c r="A284" i="3"/>
  <c r="Y284" i="3"/>
  <c r="CY284" i="3"/>
  <c r="CZ284" i="3"/>
  <c r="DA284" i="3"/>
  <c r="DB284" i="3"/>
  <c r="DC284" i="3"/>
  <c r="A285" i="3"/>
  <c r="Y285" i="3"/>
  <c r="CY285" i="3"/>
  <c r="CZ285" i="3"/>
  <c r="DA285" i="3"/>
  <c r="DB285" i="3"/>
  <c r="DC285" i="3"/>
  <c r="A286" i="3"/>
  <c r="Y286" i="3"/>
  <c r="CY286" i="3"/>
  <c r="CZ286" i="3"/>
  <c r="DA286" i="3"/>
  <c r="DB286" i="3"/>
  <c r="DC286" i="3"/>
  <c r="A287" i="3"/>
  <c r="Y287" i="3"/>
  <c r="CY287" i="3"/>
  <c r="CZ287" i="3"/>
  <c r="DA287" i="3"/>
  <c r="DB287" i="3"/>
  <c r="DC287" i="3"/>
  <c r="A288" i="3"/>
  <c r="Y288" i="3"/>
  <c r="CY288" i="3"/>
  <c r="CZ288" i="3"/>
  <c r="DA288" i="3"/>
  <c r="DB288" i="3"/>
  <c r="DC288" i="3"/>
  <c r="A289" i="3"/>
  <c r="Y289" i="3"/>
  <c r="CY289" i="3"/>
  <c r="CZ289" i="3"/>
  <c r="DA289" i="3"/>
  <c r="DB289" i="3"/>
  <c r="DC289" i="3"/>
  <c r="A290" i="3"/>
  <c r="Y290" i="3"/>
  <c r="CU290" i="3"/>
  <c r="CV290" i="3"/>
  <c r="CX290" i="3"/>
  <c r="CY290" i="3"/>
  <c r="CZ290" i="3"/>
  <c r="DA290" i="3"/>
  <c r="DB290" i="3"/>
  <c r="DC290" i="3"/>
  <c r="DF290" i="3"/>
  <c r="DG290" i="3"/>
  <c r="DH290" i="3"/>
  <c r="DI290" i="3"/>
  <c r="DJ290" i="3"/>
  <c r="A291" i="3"/>
  <c r="Y291" i="3"/>
  <c r="CU291" i="3"/>
  <c r="CV291" i="3"/>
  <c r="CX291" i="3"/>
  <c r="CY291" i="3"/>
  <c r="CZ291" i="3"/>
  <c r="DA291" i="3"/>
  <c r="DB291" i="3"/>
  <c r="DC291" i="3"/>
  <c r="DF291" i="3"/>
  <c r="DG291" i="3"/>
  <c r="DH291" i="3"/>
  <c r="DI291" i="3"/>
  <c r="DJ291" i="3"/>
  <c r="A292" i="3"/>
  <c r="Y292" i="3"/>
  <c r="CU292" i="3"/>
  <c r="CV292" i="3"/>
  <c r="CX292" i="3"/>
  <c r="CY292" i="3"/>
  <c r="CZ292" i="3"/>
  <c r="DA292" i="3"/>
  <c r="DB292" i="3"/>
  <c r="DC292" i="3"/>
  <c r="DF292" i="3"/>
  <c r="DG292" i="3"/>
  <c r="DH292" i="3"/>
  <c r="DI292" i="3"/>
  <c r="DJ292" i="3"/>
  <c r="A293" i="3"/>
  <c r="Y293" i="3"/>
  <c r="CU293" i="3"/>
  <c r="CV293" i="3"/>
  <c r="CX293" i="3"/>
  <c r="CY293" i="3"/>
  <c r="CZ293" i="3"/>
  <c r="DA293" i="3"/>
  <c r="DB293" i="3"/>
  <c r="DC293" i="3"/>
  <c r="DF293" i="3"/>
  <c r="DG293" i="3"/>
  <c r="DH293" i="3"/>
  <c r="DI293" i="3"/>
  <c r="DJ293" i="3"/>
  <c r="A294" i="3"/>
  <c r="Y294" i="3"/>
  <c r="CU294" i="3"/>
  <c r="CV294" i="3"/>
  <c r="CX294" i="3"/>
  <c r="CY294" i="3"/>
  <c r="CZ294" i="3"/>
  <c r="DA294" i="3"/>
  <c r="DB294" i="3"/>
  <c r="DC294" i="3"/>
  <c r="DF294" i="3"/>
  <c r="DG294" i="3"/>
  <c r="DH294" i="3"/>
  <c r="DI294" i="3"/>
  <c r="DJ294" i="3"/>
  <c r="A295" i="3"/>
  <c r="Y295" i="3"/>
  <c r="CU295" i="3"/>
  <c r="CV295" i="3"/>
  <c r="CX295" i="3"/>
  <c r="CY295" i="3"/>
  <c r="CZ295" i="3"/>
  <c r="DA295" i="3"/>
  <c r="DB295" i="3"/>
  <c r="DC295" i="3"/>
  <c r="DF295" i="3"/>
  <c r="DG295" i="3"/>
  <c r="DH295" i="3"/>
  <c r="DI295" i="3"/>
  <c r="DJ295" i="3"/>
  <c r="A296" i="3"/>
  <c r="Y296" i="3"/>
  <c r="CU296" i="3"/>
  <c r="CV296" i="3"/>
  <c r="CX296" i="3"/>
  <c r="CY296" i="3"/>
  <c r="CZ296" i="3"/>
  <c r="DA296" i="3"/>
  <c r="DB296" i="3"/>
  <c r="DC296" i="3"/>
  <c r="DF296" i="3"/>
  <c r="DG296" i="3"/>
  <c r="DH296" i="3"/>
  <c r="DI296" i="3"/>
  <c r="DJ296" i="3"/>
  <c r="A297" i="3"/>
  <c r="Y297" i="3"/>
  <c r="CU297" i="3"/>
  <c r="CV297" i="3"/>
  <c r="CX297" i="3"/>
  <c r="CY297" i="3"/>
  <c r="CZ297" i="3"/>
  <c r="DA297" i="3"/>
  <c r="DB297" i="3"/>
  <c r="DC297" i="3"/>
  <c r="DF297" i="3"/>
  <c r="DG297" i="3"/>
  <c r="DH297" i="3"/>
  <c r="DI297" i="3"/>
  <c r="DJ297" i="3"/>
  <c r="A298" i="3"/>
  <c r="Y298" i="3"/>
  <c r="CU298" i="3"/>
  <c r="CV298" i="3"/>
  <c r="CX298" i="3"/>
  <c r="CY298" i="3"/>
  <c r="CZ298" i="3"/>
  <c r="DA298" i="3"/>
  <c r="DB298" i="3"/>
  <c r="DC298" i="3"/>
  <c r="DF298" i="3"/>
  <c r="DG298" i="3"/>
  <c r="DH298" i="3"/>
  <c r="DI298" i="3"/>
  <c r="DJ298" i="3"/>
  <c r="A299" i="3"/>
  <c r="Y299" i="3"/>
  <c r="CU299" i="3"/>
  <c r="CV299" i="3"/>
  <c r="CX299" i="3"/>
  <c r="CY299" i="3"/>
  <c r="CZ299" i="3"/>
  <c r="DA299" i="3"/>
  <c r="DB299" i="3"/>
  <c r="DC299" i="3"/>
  <c r="DF299" i="3"/>
  <c r="DG299" i="3"/>
  <c r="DH299" i="3"/>
  <c r="DI299" i="3"/>
  <c r="DJ299" i="3"/>
  <c r="A300" i="3"/>
  <c r="Y300" i="3"/>
  <c r="CU300" i="3"/>
  <c r="CV300" i="3"/>
  <c r="CX300" i="3"/>
  <c r="CY300" i="3"/>
  <c r="CZ300" i="3"/>
  <c r="DA300" i="3"/>
  <c r="DB300" i="3"/>
  <c r="DC300" i="3"/>
  <c r="DF300" i="3"/>
  <c r="DG300" i="3"/>
  <c r="DH300" i="3"/>
  <c r="DI300" i="3"/>
  <c r="DJ300" i="3"/>
  <c r="A301" i="3"/>
  <c r="Y301" i="3"/>
  <c r="CU301" i="3"/>
  <c r="CV301" i="3"/>
  <c r="CX301" i="3"/>
  <c r="CY301" i="3"/>
  <c r="CZ301" i="3"/>
  <c r="DA301" i="3"/>
  <c r="DB301" i="3"/>
  <c r="DC301" i="3"/>
  <c r="DF301" i="3"/>
  <c r="DG301" i="3"/>
  <c r="DH301" i="3"/>
  <c r="DI301" i="3"/>
  <c r="DJ301" i="3"/>
  <c r="A302" i="3"/>
  <c r="Y302" i="3"/>
  <c r="CU302" i="3"/>
  <c r="CV302" i="3"/>
  <c r="CX302" i="3"/>
  <c r="CY302" i="3"/>
  <c r="CZ302" i="3"/>
  <c r="DA302" i="3"/>
  <c r="DB302" i="3"/>
  <c r="DC302" i="3"/>
  <c r="DF302" i="3"/>
  <c r="DG302" i="3"/>
  <c r="DH302" i="3"/>
  <c r="DI302" i="3"/>
  <c r="DJ302" i="3"/>
  <c r="A303" i="3"/>
  <c r="Y303" i="3"/>
  <c r="CU303" i="3"/>
  <c r="CV303" i="3"/>
  <c r="CX303" i="3"/>
  <c r="CY303" i="3"/>
  <c r="CZ303" i="3"/>
  <c r="DA303" i="3"/>
  <c r="DB303" i="3"/>
  <c r="DC303" i="3"/>
  <c r="DF303" i="3"/>
  <c r="DG303" i="3"/>
  <c r="DH303" i="3"/>
  <c r="DI303" i="3"/>
  <c r="DJ303" i="3"/>
  <c r="A304" i="3"/>
  <c r="Y304" i="3"/>
  <c r="CU304" i="3"/>
  <c r="CV304" i="3"/>
  <c r="CX304" i="3"/>
  <c r="CY304" i="3"/>
  <c r="CZ304" i="3"/>
  <c r="DA304" i="3"/>
  <c r="DB304" i="3"/>
  <c r="DC304" i="3"/>
  <c r="DF304" i="3"/>
  <c r="DG304" i="3"/>
  <c r="DH304" i="3"/>
  <c r="DI304" i="3"/>
  <c r="DJ304" i="3"/>
  <c r="A305" i="3"/>
  <c r="Y305" i="3"/>
  <c r="CU305" i="3"/>
  <c r="CV305" i="3"/>
  <c r="CX305" i="3"/>
  <c r="CY305" i="3"/>
  <c r="CZ305" i="3"/>
  <c r="DA305" i="3"/>
  <c r="DB305" i="3"/>
  <c r="DC305" i="3"/>
  <c r="DF305" i="3"/>
  <c r="DG305" i="3"/>
  <c r="DH305" i="3"/>
  <c r="DI305" i="3"/>
  <c r="DJ305" i="3"/>
  <c r="A306" i="3"/>
  <c r="Y306" i="3"/>
  <c r="CU306" i="3"/>
  <c r="CV306" i="3"/>
  <c r="CX306" i="3"/>
  <c r="CY306" i="3"/>
  <c r="CZ306" i="3"/>
  <c r="DA306" i="3"/>
  <c r="DB306" i="3"/>
  <c r="DC306" i="3"/>
  <c r="DF306" i="3"/>
  <c r="DG306" i="3"/>
  <c r="DH306" i="3"/>
  <c r="DI306" i="3"/>
  <c r="DJ306" i="3"/>
  <c r="A307" i="3"/>
  <c r="Y307" i="3"/>
  <c r="CU307" i="3"/>
  <c r="CV307" i="3"/>
  <c r="CX307" i="3"/>
  <c r="CY307" i="3"/>
  <c r="CZ307" i="3"/>
  <c r="DA307" i="3"/>
  <c r="DB307" i="3"/>
  <c r="DC307" i="3"/>
  <c r="DF307" i="3"/>
  <c r="DG307" i="3"/>
  <c r="DH307" i="3"/>
  <c r="DI307" i="3"/>
  <c r="DJ307" i="3"/>
  <c r="A308" i="3"/>
  <c r="Y308" i="3"/>
  <c r="CU308" i="3"/>
  <c r="CV308" i="3"/>
  <c r="CX308" i="3"/>
  <c r="CY308" i="3"/>
  <c r="CZ308" i="3"/>
  <c r="DA308" i="3"/>
  <c r="DB308" i="3"/>
  <c r="DC308" i="3"/>
  <c r="DF308" i="3"/>
  <c r="DG308" i="3"/>
  <c r="DH308" i="3"/>
  <c r="DI308" i="3"/>
  <c r="DJ308" i="3"/>
  <c r="A309" i="3"/>
  <c r="Y309" i="3"/>
  <c r="CU309" i="3"/>
  <c r="CV309" i="3"/>
  <c r="CX309" i="3"/>
  <c r="CY309" i="3"/>
  <c r="CZ309" i="3"/>
  <c r="DA309" i="3"/>
  <c r="DB309" i="3"/>
  <c r="DC309" i="3"/>
  <c r="DF309" i="3"/>
  <c r="DG309" i="3"/>
  <c r="DH309" i="3"/>
  <c r="DI309" i="3"/>
  <c r="DJ309" i="3"/>
  <c r="A310" i="3"/>
  <c r="Y310" i="3"/>
  <c r="CU310" i="3"/>
  <c r="CV310" i="3"/>
  <c r="CX310" i="3"/>
  <c r="CY310" i="3"/>
  <c r="CZ310" i="3"/>
  <c r="DA310" i="3"/>
  <c r="DB310" i="3"/>
  <c r="DC310" i="3"/>
  <c r="DF310" i="3"/>
  <c r="DG310" i="3"/>
  <c r="DH310" i="3"/>
  <c r="DI310" i="3"/>
  <c r="DJ310" i="3"/>
  <c r="A311" i="3"/>
  <c r="Y311" i="3"/>
  <c r="CU311" i="3"/>
  <c r="CV311" i="3"/>
  <c r="CX311" i="3"/>
  <c r="CY311" i="3"/>
  <c r="CZ311" i="3"/>
  <c r="DA311" i="3"/>
  <c r="DB311" i="3"/>
  <c r="DC311" i="3"/>
  <c r="DF311" i="3"/>
  <c r="DG311" i="3"/>
  <c r="DH311" i="3"/>
  <c r="DI311" i="3"/>
  <c r="DJ311" i="3"/>
  <c r="A312" i="3"/>
  <c r="Y312" i="3"/>
  <c r="CU312" i="3"/>
  <c r="CV312" i="3"/>
  <c r="CX312" i="3"/>
  <c r="CY312" i="3"/>
  <c r="CZ312" i="3"/>
  <c r="DA312" i="3"/>
  <c r="DB312" i="3"/>
  <c r="DC312" i="3"/>
  <c r="DF312" i="3"/>
  <c r="DG312" i="3"/>
  <c r="DH312" i="3"/>
  <c r="DI312" i="3"/>
  <c r="DJ312" i="3"/>
  <c r="A313" i="3"/>
  <c r="Y313" i="3"/>
  <c r="CU313" i="3"/>
  <c r="CV313" i="3"/>
  <c r="CX313" i="3"/>
  <c r="CY313" i="3"/>
  <c r="CZ313" i="3"/>
  <c r="DA313" i="3"/>
  <c r="DB313" i="3"/>
  <c r="DC313" i="3"/>
  <c r="DF313" i="3"/>
  <c r="DG313" i="3"/>
  <c r="DH313" i="3"/>
  <c r="DI313" i="3"/>
  <c r="DJ313" i="3"/>
  <c r="A314" i="3"/>
  <c r="Y314" i="3"/>
  <c r="CU314" i="3"/>
  <c r="CV314" i="3"/>
  <c r="CX314" i="3"/>
  <c r="CY314" i="3"/>
  <c r="CZ314" i="3"/>
  <c r="DA314" i="3"/>
  <c r="DB314" i="3"/>
  <c r="DC314" i="3"/>
  <c r="DF314" i="3"/>
  <c r="DG314" i="3"/>
  <c r="DH314" i="3"/>
  <c r="DI314" i="3"/>
  <c r="DJ314" i="3"/>
  <c r="A315" i="3"/>
  <c r="Y315" i="3"/>
  <c r="CU315" i="3"/>
  <c r="CV315" i="3"/>
  <c r="CX315" i="3"/>
  <c r="CY315" i="3"/>
  <c r="CZ315" i="3"/>
  <c r="DA315" i="3"/>
  <c r="DB315" i="3"/>
  <c r="DC315" i="3"/>
  <c r="DF315" i="3"/>
  <c r="DG315" i="3"/>
  <c r="DH315" i="3"/>
  <c r="DI315" i="3"/>
  <c r="DJ315" i="3"/>
  <c r="A316" i="3"/>
  <c r="Y316" i="3"/>
  <c r="CU316" i="3"/>
  <c r="CV316" i="3"/>
  <c r="CX316" i="3"/>
  <c r="CY316" i="3"/>
  <c r="CZ316" i="3"/>
  <c r="DA316" i="3"/>
  <c r="DB316" i="3"/>
  <c r="DC316" i="3"/>
  <c r="DF316" i="3"/>
  <c r="DG316" i="3"/>
  <c r="DH316" i="3"/>
  <c r="DI316" i="3"/>
  <c r="DJ316" i="3"/>
  <c r="A317" i="3"/>
  <c r="Y317" i="3"/>
  <c r="CU317" i="3"/>
  <c r="CV317" i="3"/>
  <c r="CX317" i="3"/>
  <c r="CY317" i="3"/>
  <c r="CZ317" i="3"/>
  <c r="DA317" i="3"/>
  <c r="DB317" i="3"/>
  <c r="DC317" i="3"/>
  <c r="DF317" i="3"/>
  <c r="DG317" i="3"/>
  <c r="DH317" i="3"/>
  <c r="DI317" i="3"/>
  <c r="DJ317" i="3"/>
  <c r="A318" i="3"/>
  <c r="Y318" i="3"/>
  <c r="CU318" i="3"/>
  <c r="CV318" i="3"/>
  <c r="CX318" i="3"/>
  <c r="CY318" i="3"/>
  <c r="CZ318" i="3"/>
  <c r="DA318" i="3"/>
  <c r="DB318" i="3"/>
  <c r="DC318" i="3"/>
  <c r="DF318" i="3"/>
  <c r="DG318" i="3"/>
  <c r="DH318" i="3"/>
  <c r="DI318" i="3"/>
  <c r="DJ318" i="3"/>
  <c r="A319" i="3"/>
  <c r="Y319" i="3"/>
  <c r="CU319" i="3"/>
  <c r="CV319" i="3"/>
  <c r="CX319" i="3"/>
  <c r="CY319" i="3"/>
  <c r="CZ319" i="3"/>
  <c r="DA319" i="3"/>
  <c r="DB319" i="3"/>
  <c r="DC319" i="3"/>
  <c r="DF319" i="3"/>
  <c r="DG319" i="3"/>
  <c r="DH319" i="3"/>
  <c r="DI319" i="3"/>
  <c r="DJ319" i="3"/>
  <c r="A320" i="3"/>
  <c r="Y320" i="3"/>
  <c r="CU320" i="3"/>
  <c r="CV320" i="3"/>
  <c r="CX320" i="3"/>
  <c r="CY320" i="3"/>
  <c r="CZ320" i="3"/>
  <c r="DA320" i="3"/>
  <c r="DB320" i="3"/>
  <c r="DC320" i="3"/>
  <c r="DF320" i="3"/>
  <c r="DG320" i="3"/>
  <c r="DH320" i="3"/>
  <c r="DI320" i="3"/>
  <c r="DJ320" i="3"/>
  <c r="A321" i="3"/>
  <c r="Y321" i="3"/>
  <c r="CU321" i="3"/>
  <c r="CV321" i="3"/>
  <c r="CX321" i="3"/>
  <c r="CY321" i="3"/>
  <c r="CZ321" i="3"/>
  <c r="DA321" i="3"/>
  <c r="DB321" i="3"/>
  <c r="DC321" i="3"/>
  <c r="DF321" i="3"/>
  <c r="DG321" i="3"/>
  <c r="DH321" i="3"/>
  <c r="DI321" i="3"/>
  <c r="DJ321" i="3"/>
  <c r="A322" i="3"/>
  <c r="Y322" i="3"/>
  <c r="CY322" i="3"/>
  <c r="CZ322" i="3"/>
  <c r="DA322" i="3"/>
  <c r="DB322" i="3"/>
  <c r="DC322" i="3"/>
  <c r="A323" i="3"/>
  <c r="Y323" i="3"/>
  <c r="CY323" i="3"/>
  <c r="CZ323" i="3"/>
  <c r="DA323" i="3"/>
  <c r="DB323" i="3"/>
  <c r="DC323" i="3"/>
  <c r="A324" i="3"/>
  <c r="Y324" i="3"/>
  <c r="CU324" i="3"/>
  <c r="CV324" i="3"/>
  <c r="CX324" i="3"/>
  <c r="CY324" i="3"/>
  <c r="CZ324" i="3"/>
  <c r="DA324" i="3"/>
  <c r="DB324" i="3"/>
  <c r="DC324" i="3"/>
  <c r="DF324" i="3"/>
  <c r="DG324" i="3"/>
  <c r="DH324" i="3"/>
  <c r="DI324" i="3"/>
  <c r="DJ324" i="3"/>
  <c r="A325" i="3"/>
  <c r="Y325" i="3"/>
  <c r="CU325" i="3"/>
  <c r="CV325" i="3"/>
  <c r="CX325" i="3"/>
  <c r="CY325" i="3"/>
  <c r="CZ325" i="3"/>
  <c r="DA325" i="3"/>
  <c r="DB325" i="3"/>
  <c r="DC325" i="3"/>
  <c r="DF325" i="3"/>
  <c r="DG325" i="3"/>
  <c r="DH325" i="3"/>
  <c r="DI325" i="3"/>
  <c r="DJ325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B24" i="1"/>
  <c r="B22" i="1" s="1"/>
  <c r="C24" i="1"/>
  <c r="C22" i="1" s="1"/>
  <c r="D24" i="1"/>
  <c r="D22" i="1" s="1"/>
  <c r="F24" i="1"/>
  <c r="F22" i="1" s="1"/>
  <c r="G24" i="1"/>
  <c r="G22" i="1" s="1"/>
  <c r="O24" i="1"/>
  <c r="O22" i="1" s="1"/>
  <c r="P24" i="1"/>
  <c r="P22" i="1" s="1"/>
  <c r="Q24" i="1"/>
  <c r="Q22" i="1" s="1"/>
  <c r="R24" i="1"/>
  <c r="R22" i="1" s="1"/>
  <c r="S24" i="1"/>
  <c r="S22" i="1" s="1"/>
  <c r="T24" i="1"/>
  <c r="T22" i="1" s="1"/>
  <c r="U24" i="1"/>
  <c r="U22" i="1" s="1"/>
  <c r="V24" i="1"/>
  <c r="V22" i="1" s="1"/>
  <c r="W24" i="1"/>
  <c r="W22" i="1" s="1"/>
  <c r="X24" i="1"/>
  <c r="X22" i="1" s="1"/>
  <c r="Y24" i="1"/>
  <c r="Y22" i="1" s="1"/>
  <c r="AO24" i="1"/>
  <c r="AO22" i="1" s="1"/>
  <c r="AP24" i="1"/>
  <c r="AP22" i="1" s="1"/>
  <c r="AQ24" i="1"/>
  <c r="AQ22" i="1" s="1"/>
  <c r="AR24" i="1"/>
  <c r="AR22" i="1" s="1"/>
  <c r="AS24" i="1"/>
  <c r="AS22" i="1" s="1"/>
  <c r="AT24" i="1"/>
  <c r="AT22" i="1" s="1"/>
  <c r="AU24" i="1"/>
  <c r="AU22" i="1" s="1"/>
  <c r="AV24" i="1"/>
  <c r="AV22" i="1" s="1"/>
  <c r="AW24" i="1"/>
  <c r="AW22" i="1" s="1"/>
  <c r="AX24" i="1"/>
  <c r="AX22" i="1" s="1"/>
  <c r="AY24" i="1"/>
  <c r="AY22" i="1" s="1"/>
  <c r="AZ24" i="1"/>
  <c r="AZ22" i="1" s="1"/>
  <c r="BA24" i="1"/>
  <c r="BA22" i="1" s="1"/>
  <c r="BB24" i="1"/>
  <c r="BB22" i="1" s="1"/>
  <c r="BC24" i="1"/>
  <c r="BC22" i="1" s="1"/>
  <c r="BD24" i="1"/>
  <c r="BD22" i="1" s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D54" i="1"/>
  <c r="E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EH56" i="1"/>
  <c r="EI56" i="1"/>
  <c r="EJ56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D58" i="1"/>
  <c r="E60" i="1"/>
  <c r="Z60" i="1"/>
  <c r="AA60" i="1"/>
  <c r="AM60" i="1"/>
  <c r="AN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C62" i="1"/>
  <c r="D62" i="1"/>
  <c r="I62" i="1"/>
  <c r="K62" i="1"/>
  <c r="AC62" i="1"/>
  <c r="AE62" i="1"/>
  <c r="AD62" i="1" s="1"/>
  <c r="AF62" i="1"/>
  <c r="AG62" i="1"/>
  <c r="AH62" i="1"/>
  <c r="AI62" i="1"/>
  <c r="AJ62" i="1"/>
  <c r="CQ62" i="1"/>
  <c r="CR62" i="1"/>
  <c r="CS62" i="1"/>
  <c r="CT62" i="1"/>
  <c r="CU62" i="1"/>
  <c r="T62" i="1" s="1"/>
  <c r="CV62" i="1"/>
  <c r="CW62" i="1"/>
  <c r="CX62" i="1"/>
  <c r="W62" i="1" s="1"/>
  <c r="FR62" i="1"/>
  <c r="GL62" i="1"/>
  <c r="GO62" i="1"/>
  <c r="CC87" i="1" s="1"/>
  <c r="GP62" i="1"/>
  <c r="GV62" i="1"/>
  <c r="HC62" i="1"/>
  <c r="GX62" i="1" s="1"/>
  <c r="C63" i="1"/>
  <c r="D63" i="1"/>
  <c r="I63" i="1"/>
  <c r="K63" i="1"/>
  <c r="AC63" i="1"/>
  <c r="AE63" i="1"/>
  <c r="AD63" i="1" s="1"/>
  <c r="AF63" i="1"/>
  <c r="AG63" i="1"/>
  <c r="AH63" i="1"/>
  <c r="AI63" i="1"/>
  <c r="AJ63" i="1"/>
  <c r="CQ63" i="1"/>
  <c r="CR63" i="1"/>
  <c r="CS63" i="1"/>
  <c r="CT63" i="1"/>
  <c r="CU63" i="1"/>
  <c r="T63" i="1" s="1"/>
  <c r="CV63" i="1"/>
  <c r="CW63" i="1"/>
  <c r="CX63" i="1"/>
  <c r="W63" i="1" s="1"/>
  <c r="FR63" i="1"/>
  <c r="GL63" i="1"/>
  <c r="GO63" i="1"/>
  <c r="GP63" i="1"/>
  <c r="GV63" i="1"/>
  <c r="HC63" i="1"/>
  <c r="GX63" i="1" s="1"/>
  <c r="C64" i="1"/>
  <c r="D64" i="1"/>
  <c r="P64" i="1"/>
  <c r="Q64" i="1"/>
  <c r="CP64" i="1" s="1"/>
  <c r="O64" i="1" s="1"/>
  <c r="R64" i="1"/>
  <c r="S64" i="1"/>
  <c r="CY64" i="1" s="1"/>
  <c r="X64" i="1" s="1"/>
  <c r="AZ133" i="7" s="1"/>
  <c r="L131" i="7" s="1"/>
  <c r="U64" i="1"/>
  <c r="G101" i="7" s="1"/>
  <c r="V64" i="1"/>
  <c r="G104" i="7" s="1"/>
  <c r="AC64" i="1"/>
  <c r="AE64" i="1"/>
  <c r="AD64" i="1" s="1"/>
  <c r="AF64" i="1"/>
  <c r="AG64" i="1"/>
  <c r="AH64" i="1"/>
  <c r="AI64" i="1"/>
  <c r="AJ64" i="1"/>
  <c r="CQ64" i="1"/>
  <c r="CR64" i="1"/>
  <c r="CS64" i="1"/>
  <c r="CT64" i="1"/>
  <c r="CU64" i="1"/>
  <c r="T64" i="1" s="1"/>
  <c r="CV64" i="1"/>
  <c r="CW64" i="1"/>
  <c r="CX64" i="1"/>
  <c r="W64" i="1" s="1"/>
  <c r="CZ64" i="1"/>
  <c r="Y64" i="1" s="1"/>
  <c r="BA133" i="7" s="1"/>
  <c r="L132" i="7" s="1"/>
  <c r="FR64" i="1"/>
  <c r="GL64" i="1"/>
  <c r="GO64" i="1"/>
  <c r="GP64" i="1"/>
  <c r="GV64" i="1"/>
  <c r="HC64" i="1"/>
  <c r="GX64" i="1" s="1"/>
  <c r="C65" i="1"/>
  <c r="D65" i="1"/>
  <c r="I65" i="1"/>
  <c r="K65" i="1"/>
  <c r="V65" i="1"/>
  <c r="AC65" i="1"/>
  <c r="AE65" i="1"/>
  <c r="AD65" i="1" s="1"/>
  <c r="AF65" i="1"/>
  <c r="AG65" i="1"/>
  <c r="AH65" i="1"/>
  <c r="AI65" i="1"/>
  <c r="AJ65" i="1"/>
  <c r="CQ65" i="1"/>
  <c r="CR65" i="1"/>
  <c r="CS65" i="1"/>
  <c r="CT65" i="1"/>
  <c r="CU65" i="1"/>
  <c r="T65" i="1" s="1"/>
  <c r="CV65" i="1"/>
  <c r="CW65" i="1"/>
  <c r="CX65" i="1"/>
  <c r="W65" i="1" s="1"/>
  <c r="FR65" i="1"/>
  <c r="GL65" i="1"/>
  <c r="GO65" i="1"/>
  <c r="GP65" i="1"/>
  <c r="CD87" i="1" s="1"/>
  <c r="GV65" i="1"/>
  <c r="HC65" i="1"/>
  <c r="GX65" i="1" s="1"/>
  <c r="C66" i="1"/>
  <c r="D66" i="1"/>
  <c r="I66" i="1"/>
  <c r="K66" i="1"/>
  <c r="V66" i="1"/>
  <c r="AC66" i="1"/>
  <c r="AE66" i="1"/>
  <c r="AD66" i="1" s="1"/>
  <c r="AF66" i="1"/>
  <c r="AG66" i="1"/>
  <c r="AH66" i="1"/>
  <c r="AI66" i="1"/>
  <c r="AJ66" i="1"/>
  <c r="CQ66" i="1"/>
  <c r="CR66" i="1"/>
  <c r="CS66" i="1"/>
  <c r="CT66" i="1"/>
  <c r="CU66" i="1"/>
  <c r="T66" i="1" s="1"/>
  <c r="CV66" i="1"/>
  <c r="CW66" i="1"/>
  <c r="CX66" i="1"/>
  <c r="W66" i="1" s="1"/>
  <c r="FR66" i="1"/>
  <c r="GL66" i="1"/>
  <c r="GO66" i="1"/>
  <c r="GP66" i="1"/>
  <c r="GV66" i="1"/>
  <c r="HC66" i="1"/>
  <c r="GX66" i="1" s="1"/>
  <c r="C67" i="1"/>
  <c r="D67" i="1"/>
  <c r="P67" i="1"/>
  <c r="Q67" i="1"/>
  <c r="CP67" i="1" s="1"/>
  <c r="O67" i="1" s="1"/>
  <c r="R67" i="1"/>
  <c r="S67" i="1"/>
  <c r="CY67" i="1" s="1"/>
  <c r="X67" i="1" s="1"/>
  <c r="AZ168" i="7" s="1"/>
  <c r="U67" i="1"/>
  <c r="G154" i="7" s="1"/>
  <c r="V67" i="1"/>
  <c r="G157" i="7" s="1"/>
  <c r="AC67" i="1"/>
  <c r="AE67" i="1"/>
  <c r="AD67" i="1" s="1"/>
  <c r="AF67" i="1"/>
  <c r="AG67" i="1"/>
  <c r="AH67" i="1"/>
  <c r="AI67" i="1"/>
  <c r="AJ67" i="1"/>
  <c r="CQ67" i="1"/>
  <c r="CR67" i="1"/>
  <c r="CS67" i="1"/>
  <c r="CT67" i="1"/>
  <c r="CU67" i="1"/>
  <c r="T67" i="1" s="1"/>
  <c r="CV67" i="1"/>
  <c r="CW67" i="1"/>
  <c r="CX67" i="1"/>
  <c r="W67" i="1" s="1"/>
  <c r="CZ67" i="1"/>
  <c r="Y67" i="1" s="1"/>
  <c r="BA168" i="7" s="1"/>
  <c r="FR67" i="1"/>
  <c r="GL67" i="1"/>
  <c r="GO67" i="1"/>
  <c r="GP67" i="1"/>
  <c r="GV67" i="1"/>
  <c r="HC67" i="1"/>
  <c r="GX67" i="1" s="1"/>
  <c r="I68" i="1"/>
  <c r="AC68" i="1"/>
  <c r="AE68" i="1"/>
  <c r="AD68" i="1" s="1"/>
  <c r="AF68" i="1"/>
  <c r="AG68" i="1"/>
  <c r="AH68" i="1"/>
  <c r="AI68" i="1"/>
  <c r="AJ68" i="1"/>
  <c r="CQ68" i="1"/>
  <c r="P68" i="1" s="1"/>
  <c r="CR68" i="1"/>
  <c r="Q68" i="1" s="1"/>
  <c r="CS68" i="1"/>
  <c r="R68" i="1" s="1"/>
  <c r="CT68" i="1"/>
  <c r="S68" i="1" s="1"/>
  <c r="CU68" i="1"/>
  <c r="T68" i="1" s="1"/>
  <c r="CV68" i="1"/>
  <c r="U68" i="1" s="1"/>
  <c r="CW68" i="1"/>
  <c r="V68" i="1" s="1"/>
  <c r="CX68" i="1"/>
  <c r="W68" i="1" s="1"/>
  <c r="CY68" i="1"/>
  <c r="X68" i="1" s="1"/>
  <c r="CZ68" i="1"/>
  <c r="Y68" i="1" s="1"/>
  <c r="FR68" i="1"/>
  <c r="GL68" i="1"/>
  <c r="GO68" i="1"/>
  <c r="GP68" i="1"/>
  <c r="GV68" i="1"/>
  <c r="HC68" i="1"/>
  <c r="GX68" i="1" s="1"/>
  <c r="C69" i="1"/>
  <c r="D69" i="1"/>
  <c r="P69" i="1"/>
  <c r="Q69" i="1"/>
  <c r="CP69" i="1" s="1"/>
  <c r="O69" i="1" s="1"/>
  <c r="R69" i="1"/>
  <c r="S69" i="1"/>
  <c r="CY69" i="1" s="1"/>
  <c r="X69" i="1" s="1"/>
  <c r="AZ184" i="7" s="1"/>
  <c r="U69" i="1"/>
  <c r="G170" i="7" s="1"/>
  <c r="V69" i="1"/>
  <c r="G173" i="7" s="1"/>
  <c r="AC69" i="1"/>
  <c r="AE69" i="1"/>
  <c r="AD69" i="1" s="1"/>
  <c r="AF69" i="1"/>
  <c r="AG69" i="1"/>
  <c r="AH69" i="1"/>
  <c r="AI69" i="1"/>
  <c r="AJ69" i="1"/>
  <c r="CQ69" i="1"/>
  <c r="CR69" i="1"/>
  <c r="CS69" i="1"/>
  <c r="CT69" i="1"/>
  <c r="CU69" i="1"/>
  <c r="T69" i="1" s="1"/>
  <c r="CV69" i="1"/>
  <c r="CW69" i="1"/>
  <c r="CX69" i="1"/>
  <c r="W69" i="1" s="1"/>
  <c r="CZ69" i="1"/>
  <c r="Y69" i="1" s="1"/>
  <c r="BA184" i="7" s="1"/>
  <c r="FR69" i="1"/>
  <c r="GL69" i="1"/>
  <c r="GO69" i="1"/>
  <c r="GP69" i="1"/>
  <c r="GV69" i="1"/>
  <c r="HC69" i="1"/>
  <c r="GX69" i="1" s="1"/>
  <c r="I70" i="1"/>
  <c r="AC70" i="1"/>
  <c r="AE70" i="1"/>
  <c r="AD70" i="1" s="1"/>
  <c r="AF70" i="1"/>
  <c r="AG70" i="1"/>
  <c r="AH70" i="1"/>
  <c r="AI70" i="1"/>
  <c r="AJ70" i="1"/>
  <c r="CQ70" i="1"/>
  <c r="P70" i="1" s="1"/>
  <c r="CR70" i="1"/>
  <c r="Q70" i="1" s="1"/>
  <c r="CS70" i="1"/>
  <c r="R70" i="1" s="1"/>
  <c r="CT70" i="1"/>
  <c r="S70" i="1" s="1"/>
  <c r="CU70" i="1"/>
  <c r="T70" i="1" s="1"/>
  <c r="CV70" i="1"/>
  <c r="U70" i="1" s="1"/>
  <c r="CW70" i="1"/>
  <c r="V70" i="1" s="1"/>
  <c r="CX70" i="1"/>
  <c r="W70" i="1" s="1"/>
  <c r="CY70" i="1"/>
  <c r="X70" i="1" s="1"/>
  <c r="CZ70" i="1"/>
  <c r="Y70" i="1" s="1"/>
  <c r="FR70" i="1"/>
  <c r="GL70" i="1"/>
  <c r="GO70" i="1"/>
  <c r="GP70" i="1"/>
  <c r="GV70" i="1"/>
  <c r="HC70" i="1"/>
  <c r="GX70" i="1" s="1"/>
  <c r="C71" i="1"/>
  <c r="D71" i="1"/>
  <c r="I71" i="1"/>
  <c r="K71" i="1"/>
  <c r="AC71" i="1"/>
  <c r="AE71" i="1"/>
  <c r="AD71" i="1" s="1"/>
  <c r="AF71" i="1"/>
  <c r="AG71" i="1"/>
  <c r="AH71" i="1"/>
  <c r="AI71" i="1"/>
  <c r="AJ71" i="1"/>
  <c r="CQ71" i="1"/>
  <c r="CR71" i="1"/>
  <c r="CS71" i="1"/>
  <c r="CT71" i="1"/>
  <c r="CU71" i="1"/>
  <c r="T71" i="1" s="1"/>
  <c r="CV71" i="1"/>
  <c r="CW71" i="1"/>
  <c r="CX71" i="1"/>
  <c r="W71" i="1" s="1"/>
  <c r="FR71" i="1"/>
  <c r="BY87" i="1" s="1"/>
  <c r="CI87" i="1" s="1"/>
  <c r="GL71" i="1"/>
  <c r="GO71" i="1"/>
  <c r="GP71" i="1"/>
  <c r="GV71" i="1"/>
  <c r="HC71" i="1"/>
  <c r="GX71" i="1" s="1"/>
  <c r="I72" i="1"/>
  <c r="AC72" i="1"/>
  <c r="AE72" i="1"/>
  <c r="AD72" i="1" s="1"/>
  <c r="AF72" i="1"/>
  <c r="AG72" i="1"/>
  <c r="AH72" i="1"/>
  <c r="AI72" i="1"/>
  <c r="AJ72" i="1"/>
  <c r="CQ72" i="1"/>
  <c r="P72" i="1" s="1"/>
  <c r="CR72" i="1"/>
  <c r="Q72" i="1" s="1"/>
  <c r="CS72" i="1"/>
  <c r="R72" i="1" s="1"/>
  <c r="CT72" i="1"/>
  <c r="S72" i="1" s="1"/>
  <c r="CU72" i="1"/>
  <c r="T72" i="1" s="1"/>
  <c r="CV72" i="1"/>
  <c r="U72" i="1" s="1"/>
  <c r="CW72" i="1"/>
  <c r="V72" i="1" s="1"/>
  <c r="CX72" i="1"/>
  <c r="W72" i="1" s="1"/>
  <c r="CY72" i="1"/>
  <c r="X72" i="1" s="1"/>
  <c r="CZ72" i="1"/>
  <c r="Y72" i="1" s="1"/>
  <c r="FR72" i="1"/>
  <c r="GL72" i="1"/>
  <c r="GO72" i="1"/>
  <c r="GP72" i="1"/>
  <c r="GV72" i="1"/>
  <c r="HC72" i="1"/>
  <c r="GX72" i="1" s="1"/>
  <c r="C73" i="1"/>
  <c r="D73" i="1"/>
  <c r="I73" i="1"/>
  <c r="K73" i="1"/>
  <c r="AC73" i="1"/>
  <c r="AE73" i="1"/>
  <c r="AD73" i="1" s="1"/>
  <c r="AF73" i="1"/>
  <c r="AG73" i="1"/>
  <c r="AH73" i="1"/>
  <c r="AI73" i="1"/>
  <c r="AJ73" i="1"/>
  <c r="CQ73" i="1"/>
  <c r="CR73" i="1"/>
  <c r="CS73" i="1"/>
  <c r="CT73" i="1"/>
  <c r="CU73" i="1"/>
  <c r="T73" i="1" s="1"/>
  <c r="CV73" i="1"/>
  <c r="CW73" i="1"/>
  <c r="CX73" i="1"/>
  <c r="W73" i="1" s="1"/>
  <c r="FR73" i="1"/>
  <c r="GL73" i="1"/>
  <c r="GO73" i="1"/>
  <c r="GP73" i="1"/>
  <c r="GV73" i="1"/>
  <c r="HC73" i="1"/>
  <c r="GX73" i="1" s="1"/>
  <c r="I74" i="1"/>
  <c r="AC74" i="1"/>
  <c r="AE74" i="1"/>
  <c r="AD74" i="1" s="1"/>
  <c r="AF74" i="1"/>
  <c r="AG74" i="1"/>
  <c r="AH74" i="1"/>
  <c r="AI74" i="1"/>
  <c r="AJ74" i="1"/>
  <c r="CQ74" i="1"/>
  <c r="P74" i="1" s="1"/>
  <c r="CR74" i="1"/>
  <c r="Q74" i="1" s="1"/>
  <c r="CS74" i="1"/>
  <c r="R74" i="1" s="1"/>
  <c r="CT74" i="1"/>
  <c r="S74" i="1" s="1"/>
  <c r="CU74" i="1"/>
  <c r="T74" i="1" s="1"/>
  <c r="CV74" i="1"/>
  <c r="U74" i="1" s="1"/>
  <c r="CW74" i="1"/>
  <c r="V74" i="1" s="1"/>
  <c r="CX74" i="1"/>
  <c r="W74" i="1" s="1"/>
  <c r="CY74" i="1"/>
  <c r="X74" i="1" s="1"/>
  <c r="CZ74" i="1"/>
  <c r="Y74" i="1" s="1"/>
  <c r="FR74" i="1"/>
  <c r="GL74" i="1"/>
  <c r="GO74" i="1"/>
  <c r="GP74" i="1"/>
  <c r="GV74" i="1"/>
  <c r="HC74" i="1"/>
  <c r="GX74" i="1" s="1"/>
  <c r="C75" i="1"/>
  <c r="D75" i="1"/>
  <c r="P75" i="1"/>
  <c r="Q75" i="1"/>
  <c r="R75" i="1"/>
  <c r="S75" i="1"/>
  <c r="CP75" i="1" s="1"/>
  <c r="O75" i="1" s="1"/>
  <c r="U75" i="1"/>
  <c r="G226" i="7" s="1"/>
  <c r="V75" i="1"/>
  <c r="G229" i="7" s="1"/>
  <c r="AC75" i="1"/>
  <c r="AE75" i="1"/>
  <c r="AD75" i="1" s="1"/>
  <c r="AF75" i="1"/>
  <c r="AG75" i="1"/>
  <c r="AH75" i="1"/>
  <c r="AI75" i="1"/>
  <c r="AJ75" i="1"/>
  <c r="CQ75" i="1"/>
  <c r="CR75" i="1"/>
  <c r="CS75" i="1"/>
  <c r="CT75" i="1"/>
  <c r="CU75" i="1"/>
  <c r="T75" i="1" s="1"/>
  <c r="CV75" i="1"/>
  <c r="CW75" i="1"/>
  <c r="CX75" i="1"/>
  <c r="W75" i="1" s="1"/>
  <c r="CZ75" i="1"/>
  <c r="Y75" i="1" s="1"/>
  <c r="BA259" i="7" s="1"/>
  <c r="FR75" i="1"/>
  <c r="GL75" i="1"/>
  <c r="GO75" i="1"/>
  <c r="GP75" i="1"/>
  <c r="GV75" i="1"/>
  <c r="HC75" i="1"/>
  <c r="GX75" i="1" s="1"/>
  <c r="I76" i="1"/>
  <c r="AC76" i="1"/>
  <c r="AE76" i="1"/>
  <c r="AD76" i="1" s="1"/>
  <c r="AF76" i="1"/>
  <c r="AG76" i="1"/>
  <c r="AH76" i="1"/>
  <c r="AI76" i="1"/>
  <c r="AJ76" i="1"/>
  <c r="CQ76" i="1"/>
  <c r="P76" i="1" s="1"/>
  <c r="CR76" i="1"/>
  <c r="Q76" i="1" s="1"/>
  <c r="CS76" i="1"/>
  <c r="R76" i="1" s="1"/>
  <c r="CT76" i="1"/>
  <c r="S76" i="1" s="1"/>
  <c r="CU76" i="1"/>
  <c r="T76" i="1" s="1"/>
  <c r="CV76" i="1"/>
  <c r="U76" i="1" s="1"/>
  <c r="CW76" i="1"/>
  <c r="V76" i="1" s="1"/>
  <c r="CX76" i="1"/>
  <c r="W76" i="1" s="1"/>
  <c r="CY76" i="1"/>
  <c r="X76" i="1" s="1"/>
  <c r="CZ76" i="1"/>
  <c r="Y76" i="1" s="1"/>
  <c r="FR76" i="1"/>
  <c r="GL76" i="1"/>
  <c r="GO76" i="1"/>
  <c r="GP76" i="1"/>
  <c r="GV76" i="1"/>
  <c r="HC76" i="1"/>
  <c r="GX76" i="1" s="1"/>
  <c r="C77" i="1"/>
  <c r="D77" i="1"/>
  <c r="I77" i="1"/>
  <c r="K77" i="1"/>
  <c r="AC77" i="1"/>
  <c r="AE77" i="1"/>
  <c r="AD77" i="1" s="1"/>
  <c r="AF77" i="1"/>
  <c r="AG77" i="1"/>
  <c r="AH77" i="1"/>
  <c r="AI77" i="1"/>
  <c r="AJ77" i="1"/>
  <c r="CQ77" i="1"/>
  <c r="CR77" i="1"/>
  <c r="CS77" i="1"/>
  <c r="CT77" i="1"/>
  <c r="CU77" i="1"/>
  <c r="T77" i="1" s="1"/>
  <c r="CV77" i="1"/>
  <c r="CW77" i="1"/>
  <c r="CX77" i="1"/>
  <c r="W77" i="1" s="1"/>
  <c r="FR77" i="1"/>
  <c r="GL77" i="1"/>
  <c r="GO77" i="1"/>
  <c r="GP77" i="1"/>
  <c r="GV77" i="1"/>
  <c r="HC77" i="1"/>
  <c r="GX77" i="1" s="1"/>
  <c r="C78" i="1"/>
  <c r="D78" i="1"/>
  <c r="I78" i="1"/>
  <c r="K78" i="1"/>
  <c r="AC78" i="1"/>
  <c r="AE78" i="1"/>
  <c r="AD78" i="1" s="1"/>
  <c r="AF78" i="1"/>
  <c r="AG78" i="1"/>
  <c r="AH78" i="1"/>
  <c r="AI78" i="1"/>
  <c r="AJ78" i="1"/>
  <c r="CQ78" i="1"/>
  <c r="CR78" i="1"/>
  <c r="CS78" i="1"/>
  <c r="CT78" i="1"/>
  <c r="CU78" i="1"/>
  <c r="T78" i="1" s="1"/>
  <c r="CV78" i="1"/>
  <c r="CW78" i="1"/>
  <c r="CX78" i="1"/>
  <c r="W78" i="1" s="1"/>
  <c r="FR78" i="1"/>
  <c r="GL78" i="1"/>
  <c r="GO78" i="1"/>
  <c r="GP78" i="1"/>
  <c r="GV78" i="1"/>
  <c r="HC78" i="1"/>
  <c r="GX78" i="1" s="1"/>
  <c r="C79" i="1"/>
  <c r="D79" i="1"/>
  <c r="I79" i="1"/>
  <c r="K79" i="1"/>
  <c r="AC79" i="1"/>
  <c r="AE79" i="1"/>
  <c r="AD79" i="1" s="1"/>
  <c r="AF79" i="1"/>
  <c r="AG79" i="1"/>
  <c r="AH79" i="1"/>
  <c r="AI79" i="1"/>
  <c r="AJ79" i="1"/>
  <c r="CQ79" i="1"/>
  <c r="CR79" i="1"/>
  <c r="CS79" i="1"/>
  <c r="CT79" i="1"/>
  <c r="CU79" i="1"/>
  <c r="T79" i="1" s="1"/>
  <c r="CV79" i="1"/>
  <c r="CW79" i="1"/>
  <c r="CX79" i="1"/>
  <c r="W79" i="1" s="1"/>
  <c r="FR79" i="1"/>
  <c r="GL79" i="1"/>
  <c r="GO79" i="1"/>
  <c r="GP79" i="1"/>
  <c r="GV79" i="1"/>
  <c r="HC79" i="1"/>
  <c r="GX79" i="1" s="1"/>
  <c r="C80" i="1"/>
  <c r="D80" i="1"/>
  <c r="I80" i="1"/>
  <c r="K80" i="1"/>
  <c r="AC80" i="1"/>
  <c r="AE80" i="1"/>
  <c r="AD80" i="1" s="1"/>
  <c r="AF80" i="1"/>
  <c r="AG80" i="1"/>
  <c r="AH80" i="1"/>
  <c r="AI80" i="1"/>
  <c r="AJ80" i="1"/>
  <c r="CQ80" i="1"/>
  <c r="CR80" i="1"/>
  <c r="CS80" i="1"/>
  <c r="CT80" i="1"/>
  <c r="CU80" i="1"/>
  <c r="T80" i="1" s="1"/>
  <c r="CV80" i="1"/>
  <c r="CW80" i="1"/>
  <c r="CX80" i="1"/>
  <c r="W80" i="1" s="1"/>
  <c r="FR80" i="1"/>
  <c r="GL80" i="1"/>
  <c r="GO80" i="1"/>
  <c r="GP80" i="1"/>
  <c r="GV80" i="1"/>
  <c r="HC80" i="1"/>
  <c r="GX80" i="1" s="1"/>
  <c r="C81" i="1"/>
  <c r="D81" i="1"/>
  <c r="I81" i="1"/>
  <c r="K81" i="1"/>
  <c r="AC81" i="1"/>
  <c r="AE81" i="1"/>
  <c r="AD81" i="1" s="1"/>
  <c r="AF81" i="1"/>
  <c r="AG81" i="1"/>
  <c r="AH81" i="1"/>
  <c r="AI81" i="1"/>
  <c r="AJ81" i="1"/>
  <c r="CQ81" i="1"/>
  <c r="CR81" i="1"/>
  <c r="CS81" i="1"/>
  <c r="CT81" i="1"/>
  <c r="CU81" i="1"/>
  <c r="T81" i="1" s="1"/>
  <c r="CV81" i="1"/>
  <c r="CW81" i="1"/>
  <c r="CX81" i="1"/>
  <c r="W81" i="1" s="1"/>
  <c r="FR81" i="1"/>
  <c r="GL81" i="1"/>
  <c r="GO81" i="1"/>
  <c r="GP81" i="1"/>
  <c r="GV81" i="1"/>
  <c r="HC81" i="1"/>
  <c r="GX81" i="1" s="1"/>
  <c r="P82" i="1"/>
  <c r="Q82" i="1"/>
  <c r="R82" i="1"/>
  <c r="S82" i="1"/>
  <c r="U82" i="1"/>
  <c r="V82" i="1"/>
  <c r="AC82" i="1"/>
  <c r="AD82" i="1"/>
  <c r="AE82" i="1"/>
  <c r="AF82" i="1"/>
  <c r="AG82" i="1"/>
  <c r="AH82" i="1"/>
  <c r="AI82" i="1"/>
  <c r="AJ82" i="1"/>
  <c r="CP82" i="1"/>
  <c r="O82" i="1" s="1"/>
  <c r="CQ82" i="1"/>
  <c r="CR82" i="1"/>
  <c r="CS82" i="1"/>
  <c r="CT82" i="1"/>
  <c r="CU82" i="1"/>
  <c r="T82" i="1" s="1"/>
  <c r="CV82" i="1"/>
  <c r="CW82" i="1"/>
  <c r="CX82" i="1"/>
  <c r="W82" i="1" s="1"/>
  <c r="CY82" i="1"/>
  <c r="X82" i="1" s="1"/>
  <c r="CZ82" i="1"/>
  <c r="Y82" i="1" s="1"/>
  <c r="FR82" i="1"/>
  <c r="GL82" i="1"/>
  <c r="GO82" i="1"/>
  <c r="GP82" i="1"/>
  <c r="GV82" i="1"/>
  <c r="HC82" i="1"/>
  <c r="GX82" i="1" s="1"/>
  <c r="GM82" i="1" s="1"/>
  <c r="GN82" i="1" s="1"/>
  <c r="HD82" i="1"/>
  <c r="C83" i="1"/>
  <c r="D83" i="1"/>
  <c r="I83" i="1"/>
  <c r="K83" i="1"/>
  <c r="V83" i="1"/>
  <c r="AC83" i="1"/>
  <c r="AE83" i="1"/>
  <c r="AD83" i="1" s="1"/>
  <c r="AF83" i="1"/>
  <c r="AG83" i="1"/>
  <c r="AH83" i="1"/>
  <c r="AI83" i="1"/>
  <c r="AJ83" i="1"/>
  <c r="CQ83" i="1"/>
  <c r="CR83" i="1"/>
  <c r="CS83" i="1"/>
  <c r="CT83" i="1"/>
  <c r="CU83" i="1"/>
  <c r="T83" i="1" s="1"/>
  <c r="CV83" i="1"/>
  <c r="CW83" i="1"/>
  <c r="CX83" i="1"/>
  <c r="W83" i="1" s="1"/>
  <c r="FR83" i="1"/>
  <c r="GL83" i="1"/>
  <c r="GO83" i="1"/>
  <c r="GP83" i="1"/>
  <c r="GV83" i="1"/>
  <c r="HC83" i="1"/>
  <c r="GX83" i="1" s="1"/>
  <c r="C84" i="1"/>
  <c r="D84" i="1"/>
  <c r="I84" i="1"/>
  <c r="K84" i="1"/>
  <c r="AC84" i="1"/>
  <c r="AE84" i="1"/>
  <c r="AD84" i="1" s="1"/>
  <c r="AF84" i="1"/>
  <c r="AG84" i="1"/>
  <c r="AH84" i="1"/>
  <c r="AI84" i="1"/>
  <c r="AJ84" i="1"/>
  <c r="CQ84" i="1"/>
  <c r="CR84" i="1"/>
  <c r="CS84" i="1"/>
  <c r="CT84" i="1"/>
  <c r="CU84" i="1"/>
  <c r="T84" i="1" s="1"/>
  <c r="CV84" i="1"/>
  <c r="CW84" i="1"/>
  <c r="CX84" i="1"/>
  <c r="W84" i="1" s="1"/>
  <c r="FR84" i="1"/>
  <c r="GL84" i="1"/>
  <c r="GO84" i="1"/>
  <c r="GP84" i="1"/>
  <c r="GV84" i="1"/>
  <c r="HC84" i="1"/>
  <c r="GX84" i="1" s="1"/>
  <c r="P85" i="1"/>
  <c r="Q85" i="1"/>
  <c r="R85" i="1"/>
  <c r="S85" i="1"/>
  <c r="U85" i="1"/>
  <c r="V85" i="1"/>
  <c r="AC85" i="1"/>
  <c r="AD85" i="1"/>
  <c r="AE85" i="1"/>
  <c r="AF85" i="1"/>
  <c r="AG85" i="1"/>
  <c r="AH85" i="1"/>
  <c r="AI85" i="1"/>
  <c r="AJ85" i="1"/>
  <c r="CP85" i="1"/>
  <c r="O85" i="1" s="1"/>
  <c r="CQ85" i="1"/>
  <c r="CR85" i="1"/>
  <c r="CS85" i="1"/>
  <c r="CT85" i="1"/>
  <c r="CU85" i="1"/>
  <c r="T85" i="1" s="1"/>
  <c r="CV85" i="1"/>
  <c r="CW85" i="1"/>
  <c r="CX85" i="1"/>
  <c r="W85" i="1" s="1"/>
  <c r="CY85" i="1"/>
  <c r="X85" i="1" s="1"/>
  <c r="CZ85" i="1"/>
  <c r="Y85" i="1" s="1"/>
  <c r="FR85" i="1"/>
  <c r="GL85" i="1"/>
  <c r="GO85" i="1"/>
  <c r="GP85" i="1"/>
  <c r="GV85" i="1"/>
  <c r="HC85" i="1"/>
  <c r="GX85" i="1" s="1"/>
  <c r="GM85" i="1" s="1"/>
  <c r="GN85" i="1" s="1"/>
  <c r="HD85" i="1"/>
  <c r="B87" i="1"/>
  <c r="B60" i="1" s="1"/>
  <c r="C87" i="1"/>
  <c r="C60" i="1" s="1"/>
  <c r="D87" i="1"/>
  <c r="D60" i="1" s="1"/>
  <c r="F87" i="1"/>
  <c r="F60" i="1" s="1"/>
  <c r="G87" i="1"/>
  <c r="G60" i="1" s="1"/>
  <c r="AG87" i="1"/>
  <c r="AJ87" i="1"/>
  <c r="BX87" i="1"/>
  <c r="BZ87" i="1"/>
  <c r="CG87" i="1" s="1"/>
  <c r="CJ87" i="1"/>
  <c r="CK87" i="1"/>
  <c r="CL87" i="1"/>
  <c r="CM87" i="1"/>
  <c r="D117" i="1"/>
  <c r="E119" i="1"/>
  <c r="Z119" i="1"/>
  <c r="AA119" i="1"/>
  <c r="AM119" i="1"/>
  <c r="AN119" i="1"/>
  <c r="BE119" i="1"/>
  <c r="BF119" i="1"/>
  <c r="BG119" i="1"/>
  <c r="BH119" i="1"/>
  <c r="BI119" i="1"/>
  <c r="BJ119" i="1"/>
  <c r="BK119" i="1"/>
  <c r="BL119" i="1"/>
  <c r="BM119" i="1"/>
  <c r="BN119" i="1"/>
  <c r="BO119" i="1"/>
  <c r="BP119" i="1"/>
  <c r="BQ119" i="1"/>
  <c r="BR119" i="1"/>
  <c r="BS119" i="1"/>
  <c r="BT119" i="1"/>
  <c r="BU119" i="1"/>
  <c r="BV119" i="1"/>
  <c r="BW119" i="1"/>
  <c r="CN119" i="1"/>
  <c r="CO119" i="1"/>
  <c r="CP119" i="1"/>
  <c r="CQ119" i="1"/>
  <c r="CR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DG119" i="1"/>
  <c r="DH119" i="1"/>
  <c r="DI119" i="1"/>
  <c r="DJ119" i="1"/>
  <c r="DK119" i="1"/>
  <c r="DL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DZ119" i="1"/>
  <c r="EA119" i="1"/>
  <c r="EB119" i="1"/>
  <c r="EC119" i="1"/>
  <c r="ED119" i="1"/>
  <c r="EE119" i="1"/>
  <c r="EF119" i="1"/>
  <c r="EG119" i="1"/>
  <c r="EH119" i="1"/>
  <c r="EI119" i="1"/>
  <c r="EJ119" i="1"/>
  <c r="EK119" i="1"/>
  <c r="EL119" i="1"/>
  <c r="EM119" i="1"/>
  <c r="EN119" i="1"/>
  <c r="EO119" i="1"/>
  <c r="EP119" i="1"/>
  <c r="EQ119" i="1"/>
  <c r="ER119" i="1"/>
  <c r="ES119" i="1"/>
  <c r="ET119" i="1"/>
  <c r="EU119" i="1"/>
  <c r="EV119" i="1"/>
  <c r="EW119" i="1"/>
  <c r="EX119" i="1"/>
  <c r="EY119" i="1"/>
  <c r="EZ119" i="1"/>
  <c r="FA119" i="1"/>
  <c r="FB119" i="1"/>
  <c r="FC119" i="1"/>
  <c r="FD119" i="1"/>
  <c r="FE119" i="1"/>
  <c r="FF119" i="1"/>
  <c r="FG119" i="1"/>
  <c r="FH119" i="1"/>
  <c r="FI119" i="1"/>
  <c r="FJ119" i="1"/>
  <c r="FK119" i="1"/>
  <c r="FL119" i="1"/>
  <c r="FM119" i="1"/>
  <c r="FN119" i="1"/>
  <c r="FO119" i="1"/>
  <c r="FP119" i="1"/>
  <c r="FQ119" i="1"/>
  <c r="FR119" i="1"/>
  <c r="FS119" i="1"/>
  <c r="FT119" i="1"/>
  <c r="FU119" i="1"/>
  <c r="FV119" i="1"/>
  <c r="FW119" i="1"/>
  <c r="FX119" i="1"/>
  <c r="FY119" i="1"/>
  <c r="FZ119" i="1"/>
  <c r="GA119" i="1"/>
  <c r="GB119" i="1"/>
  <c r="GC119" i="1"/>
  <c r="GD119" i="1"/>
  <c r="GE119" i="1"/>
  <c r="GF119" i="1"/>
  <c r="GG119" i="1"/>
  <c r="GH119" i="1"/>
  <c r="GI119" i="1"/>
  <c r="GJ119" i="1"/>
  <c r="GK119" i="1"/>
  <c r="GL119" i="1"/>
  <c r="GM119" i="1"/>
  <c r="GN119" i="1"/>
  <c r="GO119" i="1"/>
  <c r="GP119" i="1"/>
  <c r="GQ119" i="1"/>
  <c r="GR119" i="1"/>
  <c r="GS119" i="1"/>
  <c r="GT119" i="1"/>
  <c r="GU119" i="1"/>
  <c r="GV119" i="1"/>
  <c r="GW119" i="1"/>
  <c r="GX119" i="1"/>
  <c r="C121" i="1"/>
  <c r="D121" i="1"/>
  <c r="P121" i="1"/>
  <c r="Q121" i="1"/>
  <c r="R121" i="1"/>
  <c r="S121" i="1"/>
  <c r="CY121" i="1" s="1"/>
  <c r="X121" i="1" s="1"/>
  <c r="AZ428" i="7" s="1"/>
  <c r="U121" i="1"/>
  <c r="G410" i="7" s="1"/>
  <c r="V121" i="1"/>
  <c r="G413" i="7" s="1"/>
  <c r="AC121" i="1"/>
  <c r="AE121" i="1"/>
  <c r="AD121" i="1" s="1"/>
  <c r="AF121" i="1"/>
  <c r="AG121" i="1"/>
  <c r="AH121" i="1"/>
  <c r="AI121" i="1"/>
  <c r="AJ121" i="1"/>
  <c r="CP121" i="1"/>
  <c r="O121" i="1" s="1"/>
  <c r="CQ121" i="1"/>
  <c r="CR121" i="1"/>
  <c r="CS121" i="1"/>
  <c r="CT121" i="1"/>
  <c r="CU121" i="1"/>
  <c r="T121" i="1" s="1"/>
  <c r="CV121" i="1"/>
  <c r="CW121" i="1"/>
  <c r="CX121" i="1"/>
  <c r="W121" i="1" s="1"/>
  <c r="CZ121" i="1"/>
  <c r="Y121" i="1" s="1"/>
  <c r="BA428" i="7" s="1"/>
  <c r="FR121" i="1"/>
  <c r="GL121" i="1"/>
  <c r="GN121" i="1"/>
  <c r="GP121" i="1"/>
  <c r="GV121" i="1"/>
  <c r="HC121" i="1"/>
  <c r="GX121" i="1" s="1"/>
  <c r="C122" i="1"/>
  <c r="D122" i="1"/>
  <c r="P122" i="1"/>
  <c r="Q122" i="1"/>
  <c r="CP122" i="1" s="1"/>
  <c r="O122" i="1" s="1"/>
  <c r="R122" i="1"/>
  <c r="S122" i="1"/>
  <c r="CY122" i="1" s="1"/>
  <c r="X122" i="1" s="1"/>
  <c r="AZ446" i="7" s="1"/>
  <c r="L444" i="7" s="1"/>
  <c r="U122" i="1"/>
  <c r="G431" i="7" s="1"/>
  <c r="V122" i="1"/>
  <c r="G434" i="7" s="1"/>
  <c r="AC122" i="1"/>
  <c r="AE122" i="1"/>
  <c r="AD122" i="1" s="1"/>
  <c r="AF122" i="1"/>
  <c r="AG122" i="1"/>
  <c r="AH122" i="1"/>
  <c r="AI122" i="1"/>
  <c r="AJ122" i="1"/>
  <c r="CQ122" i="1"/>
  <c r="CR122" i="1"/>
  <c r="CS122" i="1"/>
  <c r="CT122" i="1"/>
  <c r="CU122" i="1"/>
  <c r="T122" i="1" s="1"/>
  <c r="CV122" i="1"/>
  <c r="CW122" i="1"/>
  <c r="CX122" i="1"/>
  <c r="W122" i="1" s="1"/>
  <c r="CZ122" i="1"/>
  <c r="Y122" i="1" s="1"/>
  <c r="BA446" i="7" s="1"/>
  <c r="L445" i="7" s="1"/>
  <c r="FR122" i="1"/>
  <c r="GL122" i="1"/>
  <c r="GN122" i="1"/>
  <c r="GP122" i="1"/>
  <c r="GV122" i="1"/>
  <c r="HC122" i="1"/>
  <c r="GX122" i="1" s="1"/>
  <c r="C123" i="1"/>
  <c r="D123" i="1"/>
  <c r="P123" i="1"/>
  <c r="Q123" i="1"/>
  <c r="CP123" i="1" s="1"/>
  <c r="O123" i="1" s="1"/>
  <c r="R123" i="1"/>
  <c r="S123" i="1"/>
  <c r="CY123" i="1" s="1"/>
  <c r="X123" i="1" s="1"/>
  <c r="AZ468" i="7" s="1"/>
  <c r="L466" i="7" s="1"/>
  <c r="U123" i="1"/>
  <c r="G449" i="7" s="1"/>
  <c r="V123" i="1"/>
  <c r="G452" i="7" s="1"/>
  <c r="AC123" i="1"/>
  <c r="AE123" i="1"/>
  <c r="AD123" i="1" s="1"/>
  <c r="AF123" i="1"/>
  <c r="AG123" i="1"/>
  <c r="AH123" i="1"/>
  <c r="AI123" i="1"/>
  <c r="AJ123" i="1"/>
  <c r="CQ123" i="1"/>
  <c r="CR123" i="1"/>
  <c r="CS123" i="1"/>
  <c r="CT123" i="1"/>
  <c r="CU123" i="1"/>
  <c r="T123" i="1" s="1"/>
  <c r="CV123" i="1"/>
  <c r="CW123" i="1"/>
  <c r="CX123" i="1"/>
  <c r="W123" i="1" s="1"/>
  <c r="CZ123" i="1"/>
  <c r="Y123" i="1" s="1"/>
  <c r="BA468" i="7" s="1"/>
  <c r="L467" i="7" s="1"/>
  <c r="FR123" i="1"/>
  <c r="GL123" i="1"/>
  <c r="GO123" i="1"/>
  <c r="GP123" i="1"/>
  <c r="GV123" i="1"/>
  <c r="HC123" i="1"/>
  <c r="GX123" i="1" s="1"/>
  <c r="C124" i="1"/>
  <c r="D124" i="1"/>
  <c r="P124" i="1"/>
  <c r="Q124" i="1"/>
  <c r="CP124" i="1" s="1"/>
  <c r="O124" i="1" s="1"/>
  <c r="R124" i="1"/>
  <c r="S124" i="1"/>
  <c r="CY124" i="1" s="1"/>
  <c r="X124" i="1" s="1"/>
  <c r="AZ491" i="7" s="1"/>
  <c r="L489" i="7" s="1"/>
  <c r="U124" i="1"/>
  <c r="G471" i="7" s="1"/>
  <c r="V124" i="1"/>
  <c r="G477" i="7" s="1"/>
  <c r="AC124" i="1"/>
  <c r="AE124" i="1"/>
  <c r="AD124" i="1" s="1"/>
  <c r="AF124" i="1"/>
  <c r="AG124" i="1"/>
  <c r="AH124" i="1"/>
  <c r="AI124" i="1"/>
  <c r="AJ124" i="1"/>
  <c r="CQ124" i="1"/>
  <c r="CR124" i="1"/>
  <c r="CS124" i="1"/>
  <c r="CT124" i="1"/>
  <c r="CU124" i="1"/>
  <c r="T124" i="1" s="1"/>
  <c r="CV124" i="1"/>
  <c r="CW124" i="1"/>
  <c r="CX124" i="1"/>
  <c r="W124" i="1" s="1"/>
  <c r="CZ124" i="1"/>
  <c r="Y124" i="1" s="1"/>
  <c r="BA491" i="7" s="1"/>
  <c r="L490" i="7" s="1"/>
  <c r="FR124" i="1"/>
  <c r="GL124" i="1"/>
  <c r="GO124" i="1"/>
  <c r="GP124" i="1"/>
  <c r="GV124" i="1"/>
  <c r="HC124" i="1"/>
  <c r="GX124" i="1" s="1"/>
  <c r="C125" i="1"/>
  <c r="D125" i="1"/>
  <c r="P125" i="1"/>
  <c r="Q125" i="1"/>
  <c r="CP125" i="1" s="1"/>
  <c r="O125" i="1" s="1"/>
  <c r="R125" i="1"/>
  <c r="S125" i="1"/>
  <c r="CY125" i="1" s="1"/>
  <c r="X125" i="1" s="1"/>
  <c r="AZ508" i="7" s="1"/>
  <c r="L506" i="7" s="1"/>
  <c r="U125" i="1"/>
  <c r="G494" i="7" s="1"/>
  <c r="V125" i="1"/>
  <c r="G497" i="7" s="1"/>
  <c r="AC125" i="1"/>
  <c r="AE125" i="1"/>
  <c r="AD125" i="1" s="1"/>
  <c r="AF125" i="1"/>
  <c r="AG125" i="1"/>
  <c r="AH125" i="1"/>
  <c r="AI125" i="1"/>
  <c r="AJ125" i="1"/>
  <c r="CQ125" i="1"/>
  <c r="CR125" i="1"/>
  <c r="CS125" i="1"/>
  <c r="CT125" i="1"/>
  <c r="CU125" i="1"/>
  <c r="T125" i="1" s="1"/>
  <c r="CV125" i="1"/>
  <c r="CW125" i="1"/>
  <c r="CX125" i="1"/>
  <c r="W125" i="1" s="1"/>
  <c r="CZ125" i="1"/>
  <c r="Y125" i="1" s="1"/>
  <c r="BA508" i="7" s="1"/>
  <c r="L507" i="7" s="1"/>
  <c r="FR125" i="1"/>
  <c r="GL125" i="1"/>
  <c r="GN125" i="1"/>
  <c r="GP125" i="1"/>
  <c r="GV125" i="1"/>
  <c r="HC125" i="1"/>
  <c r="GX125" i="1" s="1"/>
  <c r="C126" i="1"/>
  <c r="D126" i="1"/>
  <c r="I126" i="1"/>
  <c r="K126" i="1"/>
  <c r="AC126" i="1"/>
  <c r="AE126" i="1"/>
  <c r="AD126" i="1" s="1"/>
  <c r="AF126" i="1"/>
  <c r="AG126" i="1"/>
  <c r="AH126" i="1"/>
  <c r="AI126" i="1"/>
  <c r="AJ126" i="1"/>
  <c r="CQ126" i="1"/>
  <c r="CR126" i="1"/>
  <c r="CS126" i="1"/>
  <c r="CT126" i="1"/>
  <c r="CU126" i="1"/>
  <c r="T126" i="1" s="1"/>
  <c r="CV126" i="1"/>
  <c r="CW126" i="1"/>
  <c r="CX126" i="1"/>
  <c r="W126" i="1" s="1"/>
  <c r="FR126" i="1"/>
  <c r="BY129" i="1" s="1"/>
  <c r="CI129" i="1" s="1"/>
  <c r="GL126" i="1"/>
  <c r="GN126" i="1"/>
  <c r="GP126" i="1"/>
  <c r="CD129" i="1" s="1"/>
  <c r="GV126" i="1"/>
  <c r="HC126" i="1"/>
  <c r="GX126" i="1" s="1"/>
  <c r="C127" i="1"/>
  <c r="D127" i="1"/>
  <c r="I127" i="1"/>
  <c r="K127" i="1"/>
  <c r="AC127" i="1"/>
  <c r="AE127" i="1"/>
  <c r="AD127" i="1" s="1"/>
  <c r="AF127" i="1"/>
  <c r="AG127" i="1"/>
  <c r="AH127" i="1"/>
  <c r="AI127" i="1"/>
  <c r="AJ127" i="1"/>
  <c r="CQ127" i="1"/>
  <c r="CR127" i="1"/>
  <c r="CS127" i="1"/>
  <c r="CT127" i="1"/>
  <c r="CU127" i="1"/>
  <c r="T127" i="1" s="1"/>
  <c r="CV127" i="1"/>
  <c r="CW127" i="1"/>
  <c r="CX127" i="1"/>
  <c r="W127" i="1" s="1"/>
  <c r="FR127" i="1"/>
  <c r="GL127" i="1"/>
  <c r="GN127" i="1"/>
  <c r="GP127" i="1"/>
  <c r="GV127" i="1"/>
  <c r="HC127" i="1"/>
  <c r="GX127" i="1" s="1"/>
  <c r="B129" i="1"/>
  <c r="B119" i="1" s="1"/>
  <c r="C129" i="1"/>
  <c r="C119" i="1" s="1"/>
  <c r="D129" i="1"/>
  <c r="D119" i="1" s="1"/>
  <c r="F129" i="1"/>
  <c r="F119" i="1" s="1"/>
  <c r="G129" i="1"/>
  <c r="G119" i="1" s="1"/>
  <c r="AG129" i="1"/>
  <c r="AJ129" i="1"/>
  <c r="BX129" i="1"/>
  <c r="BZ129" i="1"/>
  <c r="CG129" i="1" s="1"/>
  <c r="CJ129" i="1"/>
  <c r="CK129" i="1"/>
  <c r="CL129" i="1"/>
  <c r="CM129" i="1"/>
  <c r="D159" i="1"/>
  <c r="E161" i="1"/>
  <c r="Z161" i="1"/>
  <c r="AA161" i="1"/>
  <c r="AM161" i="1"/>
  <c r="AN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BQ161" i="1"/>
  <c r="BR161" i="1"/>
  <c r="BS161" i="1"/>
  <c r="BT161" i="1"/>
  <c r="BU161" i="1"/>
  <c r="BV161" i="1"/>
  <c r="BW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EG161" i="1"/>
  <c r="EH161" i="1"/>
  <c r="EI161" i="1"/>
  <c r="EJ161" i="1"/>
  <c r="EK161" i="1"/>
  <c r="EL161" i="1"/>
  <c r="EM161" i="1"/>
  <c r="EN161" i="1"/>
  <c r="EO161" i="1"/>
  <c r="EP161" i="1"/>
  <c r="EQ161" i="1"/>
  <c r="ER161" i="1"/>
  <c r="ES161" i="1"/>
  <c r="ET161" i="1"/>
  <c r="EU161" i="1"/>
  <c r="EV161" i="1"/>
  <c r="EW161" i="1"/>
  <c r="EX161" i="1"/>
  <c r="EY161" i="1"/>
  <c r="EZ161" i="1"/>
  <c r="FA161" i="1"/>
  <c r="FB161" i="1"/>
  <c r="FC161" i="1"/>
  <c r="FD161" i="1"/>
  <c r="FE161" i="1"/>
  <c r="FF161" i="1"/>
  <c r="FG161" i="1"/>
  <c r="FH161" i="1"/>
  <c r="FI161" i="1"/>
  <c r="FJ161" i="1"/>
  <c r="FK161" i="1"/>
  <c r="FL161" i="1"/>
  <c r="FM161" i="1"/>
  <c r="FN161" i="1"/>
  <c r="FO161" i="1"/>
  <c r="FP161" i="1"/>
  <c r="FQ161" i="1"/>
  <c r="FR161" i="1"/>
  <c r="FS161" i="1"/>
  <c r="FT161" i="1"/>
  <c r="FU161" i="1"/>
  <c r="FV161" i="1"/>
  <c r="FW161" i="1"/>
  <c r="FX161" i="1"/>
  <c r="FY161" i="1"/>
  <c r="FZ161" i="1"/>
  <c r="GA161" i="1"/>
  <c r="GB161" i="1"/>
  <c r="GC161" i="1"/>
  <c r="GD161" i="1"/>
  <c r="GE161" i="1"/>
  <c r="GF161" i="1"/>
  <c r="GG161" i="1"/>
  <c r="GH161" i="1"/>
  <c r="GI161" i="1"/>
  <c r="GJ161" i="1"/>
  <c r="GK161" i="1"/>
  <c r="GL161" i="1"/>
  <c r="GM161" i="1"/>
  <c r="GN161" i="1"/>
  <c r="GO161" i="1"/>
  <c r="GP161" i="1"/>
  <c r="GQ161" i="1"/>
  <c r="GR161" i="1"/>
  <c r="GS161" i="1"/>
  <c r="GT161" i="1"/>
  <c r="GU161" i="1"/>
  <c r="GV161" i="1"/>
  <c r="GW161" i="1"/>
  <c r="GX161" i="1"/>
  <c r="C163" i="1"/>
  <c r="D163" i="1"/>
  <c r="P163" i="1"/>
  <c r="Q163" i="1"/>
  <c r="CP163" i="1" s="1"/>
  <c r="O163" i="1" s="1"/>
  <c r="R163" i="1"/>
  <c r="S163" i="1"/>
  <c r="CY163" i="1" s="1"/>
  <c r="X163" i="1" s="1"/>
  <c r="AZ602" i="7" s="1"/>
  <c r="U163" i="1"/>
  <c r="G584" i="7" s="1"/>
  <c r="V163" i="1"/>
  <c r="G587" i="7" s="1"/>
  <c r="AC163" i="1"/>
  <c r="AE163" i="1"/>
  <c r="AD163" i="1" s="1"/>
  <c r="AF163" i="1"/>
  <c r="AG163" i="1"/>
  <c r="AH163" i="1"/>
  <c r="AI163" i="1"/>
  <c r="AJ163" i="1"/>
  <c r="CQ163" i="1"/>
  <c r="CR163" i="1"/>
  <c r="CS163" i="1"/>
  <c r="CT163" i="1"/>
  <c r="CU163" i="1"/>
  <c r="T163" i="1" s="1"/>
  <c r="CV163" i="1"/>
  <c r="CW163" i="1"/>
  <c r="CX163" i="1"/>
  <c r="W163" i="1" s="1"/>
  <c r="CZ163" i="1"/>
  <c r="Y163" i="1" s="1"/>
  <c r="BA602" i="7" s="1"/>
  <c r="FR163" i="1"/>
  <c r="GL163" i="1"/>
  <c r="BZ174" i="1" s="1"/>
  <c r="CG174" i="1" s="1"/>
  <c r="GN163" i="1"/>
  <c r="GP163" i="1"/>
  <c r="CD174" i="1" s="1"/>
  <c r="GV163" i="1"/>
  <c r="HC163" i="1"/>
  <c r="GX163" i="1" s="1"/>
  <c r="C164" i="1"/>
  <c r="D164" i="1"/>
  <c r="P164" i="1"/>
  <c r="Q164" i="1"/>
  <c r="CP164" i="1" s="1"/>
  <c r="O164" i="1" s="1"/>
  <c r="R164" i="1"/>
  <c r="S164" i="1"/>
  <c r="CY164" i="1" s="1"/>
  <c r="X164" i="1" s="1"/>
  <c r="AZ619" i="7" s="1"/>
  <c r="L617" i="7" s="1"/>
  <c r="U164" i="1"/>
  <c r="G604" i="7" s="1"/>
  <c r="V164" i="1"/>
  <c r="G607" i="7" s="1"/>
  <c r="AC164" i="1"/>
  <c r="AE164" i="1"/>
  <c r="AD164" i="1" s="1"/>
  <c r="AF164" i="1"/>
  <c r="AG164" i="1"/>
  <c r="AH164" i="1"/>
  <c r="AI164" i="1"/>
  <c r="AJ164" i="1"/>
  <c r="CQ164" i="1"/>
  <c r="CR164" i="1"/>
  <c r="CS164" i="1"/>
  <c r="CT164" i="1"/>
  <c r="CU164" i="1"/>
  <c r="T164" i="1" s="1"/>
  <c r="CV164" i="1"/>
  <c r="CW164" i="1"/>
  <c r="CX164" i="1"/>
  <c r="W164" i="1" s="1"/>
  <c r="CZ164" i="1"/>
  <c r="Y164" i="1" s="1"/>
  <c r="BA619" i="7" s="1"/>
  <c r="L618" i="7" s="1"/>
  <c r="FR164" i="1"/>
  <c r="GL164" i="1"/>
  <c r="GN164" i="1"/>
  <c r="GP164" i="1"/>
  <c r="GV164" i="1"/>
  <c r="HC164" i="1"/>
  <c r="GX164" i="1" s="1"/>
  <c r="C165" i="1"/>
  <c r="D165" i="1"/>
  <c r="P165" i="1"/>
  <c r="Q165" i="1"/>
  <c r="CP165" i="1" s="1"/>
  <c r="O165" i="1" s="1"/>
  <c r="R165" i="1"/>
  <c r="S165" i="1"/>
  <c r="CY165" i="1" s="1"/>
  <c r="X165" i="1" s="1"/>
  <c r="AZ640" i="7" s="1"/>
  <c r="L638" i="7" s="1"/>
  <c r="U165" i="1"/>
  <c r="G621" i="7" s="1"/>
  <c r="V165" i="1"/>
  <c r="G624" i="7" s="1"/>
  <c r="AC165" i="1"/>
  <c r="AE165" i="1"/>
  <c r="AD165" i="1" s="1"/>
  <c r="AF165" i="1"/>
  <c r="AG165" i="1"/>
  <c r="AH165" i="1"/>
  <c r="AI165" i="1"/>
  <c r="AJ165" i="1"/>
  <c r="CQ165" i="1"/>
  <c r="CR165" i="1"/>
  <c r="CS165" i="1"/>
  <c r="CT165" i="1"/>
  <c r="CU165" i="1"/>
  <c r="T165" i="1" s="1"/>
  <c r="CV165" i="1"/>
  <c r="CW165" i="1"/>
  <c r="CX165" i="1"/>
  <c r="W165" i="1" s="1"/>
  <c r="CZ165" i="1"/>
  <c r="Y165" i="1" s="1"/>
  <c r="BA640" i="7" s="1"/>
  <c r="L639" i="7" s="1"/>
  <c r="FR165" i="1"/>
  <c r="GL165" i="1"/>
  <c r="GO165" i="1"/>
  <c r="GP165" i="1"/>
  <c r="GV165" i="1"/>
  <c r="HC165" i="1"/>
  <c r="GX165" i="1" s="1"/>
  <c r="C166" i="1"/>
  <c r="D166" i="1"/>
  <c r="I166" i="1"/>
  <c r="K166" i="1"/>
  <c r="AC166" i="1"/>
  <c r="AE166" i="1"/>
  <c r="AD166" i="1" s="1"/>
  <c r="AF166" i="1"/>
  <c r="AG166" i="1"/>
  <c r="AH166" i="1"/>
  <c r="AI166" i="1"/>
  <c r="AJ166" i="1"/>
  <c r="CQ166" i="1"/>
  <c r="CR166" i="1"/>
  <c r="CS166" i="1"/>
  <c r="CT166" i="1"/>
  <c r="CU166" i="1"/>
  <c r="T166" i="1" s="1"/>
  <c r="CV166" i="1"/>
  <c r="CW166" i="1"/>
  <c r="CX166" i="1"/>
  <c r="W166" i="1" s="1"/>
  <c r="FR166" i="1"/>
  <c r="BY174" i="1" s="1"/>
  <c r="CI174" i="1" s="1"/>
  <c r="GL166" i="1"/>
  <c r="GN166" i="1"/>
  <c r="GP166" i="1"/>
  <c r="GV166" i="1"/>
  <c r="HC166" i="1"/>
  <c r="GX166" i="1" s="1"/>
  <c r="C167" i="1"/>
  <c r="D167" i="1"/>
  <c r="P167" i="1"/>
  <c r="CP167" i="1" s="1"/>
  <c r="O167" i="1" s="1"/>
  <c r="Q167" i="1"/>
  <c r="R167" i="1"/>
  <c r="S167" i="1"/>
  <c r="U167" i="1"/>
  <c r="G662" i="7" s="1"/>
  <c r="V167" i="1"/>
  <c r="G668" i="7" s="1"/>
  <c r="AC167" i="1"/>
  <c r="AE167" i="1"/>
  <c r="AD167" i="1" s="1"/>
  <c r="AF167" i="1"/>
  <c r="AG167" i="1"/>
  <c r="AH167" i="1"/>
  <c r="AI167" i="1"/>
  <c r="AJ167" i="1"/>
  <c r="CQ167" i="1"/>
  <c r="CR167" i="1"/>
  <c r="CS167" i="1"/>
  <c r="CT167" i="1"/>
  <c r="CU167" i="1"/>
  <c r="T167" i="1" s="1"/>
  <c r="CV167" i="1"/>
  <c r="CW167" i="1"/>
  <c r="CX167" i="1"/>
  <c r="W167" i="1" s="1"/>
  <c r="CY167" i="1"/>
  <c r="X167" i="1" s="1"/>
  <c r="AZ682" i="7" s="1"/>
  <c r="L680" i="7" s="1"/>
  <c r="CZ167" i="1"/>
  <c r="Y167" i="1" s="1"/>
  <c r="BA682" i="7" s="1"/>
  <c r="L681" i="7" s="1"/>
  <c r="FR167" i="1"/>
  <c r="GL167" i="1"/>
  <c r="GO167" i="1"/>
  <c r="GP167" i="1"/>
  <c r="GV167" i="1"/>
  <c r="HC167" i="1"/>
  <c r="GX167" i="1" s="1"/>
  <c r="C168" i="1"/>
  <c r="D168" i="1"/>
  <c r="P168" i="1"/>
  <c r="CP168" i="1" s="1"/>
  <c r="O168" i="1" s="1"/>
  <c r="Q168" i="1"/>
  <c r="R168" i="1"/>
  <c r="S168" i="1"/>
  <c r="U168" i="1"/>
  <c r="G684" i="7" s="1"/>
  <c r="V168" i="1"/>
  <c r="G687" i="7" s="1"/>
  <c r="AC168" i="1"/>
  <c r="AE168" i="1"/>
  <c r="AD168" i="1" s="1"/>
  <c r="AF168" i="1"/>
  <c r="AG168" i="1"/>
  <c r="AH168" i="1"/>
  <c r="AI168" i="1"/>
  <c r="AJ168" i="1"/>
  <c r="CQ168" i="1"/>
  <c r="CR168" i="1"/>
  <c r="CS168" i="1"/>
  <c r="CT168" i="1"/>
  <c r="CU168" i="1"/>
  <c r="T168" i="1" s="1"/>
  <c r="CV168" i="1"/>
  <c r="CW168" i="1"/>
  <c r="CX168" i="1"/>
  <c r="W168" i="1" s="1"/>
  <c r="CY168" i="1"/>
  <c r="X168" i="1" s="1"/>
  <c r="AZ698" i="7" s="1"/>
  <c r="L696" i="7" s="1"/>
  <c r="CZ168" i="1"/>
  <c r="Y168" i="1" s="1"/>
  <c r="BA698" i="7" s="1"/>
  <c r="L697" i="7" s="1"/>
  <c r="FR168" i="1"/>
  <c r="GL168" i="1"/>
  <c r="GN168" i="1"/>
  <c r="GP168" i="1"/>
  <c r="GV168" i="1"/>
  <c r="HC168" i="1"/>
  <c r="GX168" i="1" s="1"/>
  <c r="C169" i="1"/>
  <c r="D169" i="1"/>
  <c r="I169" i="1"/>
  <c r="K169" i="1"/>
  <c r="AC169" i="1"/>
  <c r="AE169" i="1"/>
  <c r="AD169" i="1" s="1"/>
  <c r="AF169" i="1"/>
  <c r="AG169" i="1"/>
  <c r="AH169" i="1"/>
  <c r="AI169" i="1"/>
  <c r="AJ169" i="1"/>
  <c r="CQ169" i="1"/>
  <c r="CR169" i="1"/>
  <c r="CS169" i="1"/>
  <c r="CT169" i="1"/>
  <c r="CU169" i="1"/>
  <c r="T169" i="1" s="1"/>
  <c r="CV169" i="1"/>
  <c r="CW169" i="1"/>
  <c r="CX169" i="1"/>
  <c r="W169" i="1" s="1"/>
  <c r="FR169" i="1"/>
  <c r="GL169" i="1"/>
  <c r="GN169" i="1"/>
  <c r="GP169" i="1"/>
  <c r="GV169" i="1"/>
  <c r="HC169" i="1"/>
  <c r="GX169" i="1" s="1"/>
  <c r="C170" i="1"/>
  <c r="D170" i="1"/>
  <c r="I170" i="1"/>
  <c r="K170" i="1"/>
  <c r="AC170" i="1"/>
  <c r="AE170" i="1"/>
  <c r="AD170" i="1" s="1"/>
  <c r="AF170" i="1"/>
  <c r="AG170" i="1"/>
  <c r="AH170" i="1"/>
  <c r="AI170" i="1"/>
  <c r="AJ170" i="1"/>
  <c r="CQ170" i="1"/>
  <c r="CR170" i="1"/>
  <c r="CS170" i="1"/>
  <c r="CT170" i="1"/>
  <c r="CU170" i="1"/>
  <c r="T170" i="1" s="1"/>
  <c r="CV170" i="1"/>
  <c r="CW170" i="1"/>
  <c r="CX170" i="1"/>
  <c r="W170" i="1" s="1"/>
  <c r="FR170" i="1"/>
  <c r="GL170" i="1"/>
  <c r="GN170" i="1"/>
  <c r="GP170" i="1"/>
  <c r="GV170" i="1"/>
  <c r="HC170" i="1"/>
  <c r="GX170" i="1" s="1"/>
  <c r="C171" i="1"/>
  <c r="D171" i="1"/>
  <c r="I171" i="1"/>
  <c r="K171" i="1"/>
  <c r="AC171" i="1"/>
  <c r="AE171" i="1"/>
  <c r="AD171" i="1" s="1"/>
  <c r="AF171" i="1"/>
  <c r="AG171" i="1"/>
  <c r="AH171" i="1"/>
  <c r="AI171" i="1"/>
  <c r="AJ171" i="1"/>
  <c r="CQ171" i="1"/>
  <c r="CR171" i="1"/>
  <c r="CS171" i="1"/>
  <c r="CT171" i="1"/>
  <c r="CU171" i="1"/>
  <c r="T171" i="1" s="1"/>
  <c r="CV171" i="1"/>
  <c r="CW171" i="1"/>
  <c r="CX171" i="1"/>
  <c r="W171" i="1" s="1"/>
  <c r="FR171" i="1"/>
  <c r="GL171" i="1"/>
  <c r="GN171" i="1"/>
  <c r="GP171" i="1"/>
  <c r="GV171" i="1"/>
  <c r="HC171" i="1"/>
  <c r="GX171" i="1" s="1"/>
  <c r="C172" i="1"/>
  <c r="D172" i="1"/>
  <c r="I172" i="1"/>
  <c r="K172" i="1"/>
  <c r="AC172" i="1"/>
  <c r="AE172" i="1"/>
  <c r="AD172" i="1" s="1"/>
  <c r="AF172" i="1"/>
  <c r="AG172" i="1"/>
  <c r="AH172" i="1"/>
  <c r="AI172" i="1"/>
  <c r="AJ172" i="1"/>
  <c r="CQ172" i="1"/>
  <c r="CR172" i="1"/>
  <c r="CS172" i="1"/>
  <c r="CT172" i="1"/>
  <c r="CU172" i="1"/>
  <c r="T172" i="1" s="1"/>
  <c r="CV172" i="1"/>
  <c r="CW172" i="1"/>
  <c r="CX172" i="1"/>
  <c r="W172" i="1" s="1"/>
  <c r="FR172" i="1"/>
  <c r="GL172" i="1"/>
  <c r="GN172" i="1"/>
  <c r="GP172" i="1"/>
  <c r="GV172" i="1"/>
  <c r="HC172" i="1"/>
  <c r="GX172" i="1" s="1"/>
  <c r="B174" i="1"/>
  <c r="B161" i="1" s="1"/>
  <c r="C174" i="1"/>
  <c r="C161" i="1" s="1"/>
  <c r="D174" i="1"/>
  <c r="D161" i="1" s="1"/>
  <c r="F174" i="1"/>
  <c r="F161" i="1" s="1"/>
  <c r="G174" i="1"/>
  <c r="G161" i="1" s="1"/>
  <c r="AG174" i="1"/>
  <c r="AJ174" i="1"/>
  <c r="BX174" i="1"/>
  <c r="CJ174" i="1"/>
  <c r="CK174" i="1"/>
  <c r="CL174" i="1"/>
  <c r="CM174" i="1"/>
  <c r="D204" i="1"/>
  <c r="E206" i="1"/>
  <c r="Z206" i="1"/>
  <c r="AA206" i="1"/>
  <c r="AM206" i="1"/>
  <c r="AN206" i="1"/>
  <c r="BE206" i="1"/>
  <c r="BF206" i="1"/>
  <c r="BG206" i="1"/>
  <c r="BH206" i="1"/>
  <c r="BI206" i="1"/>
  <c r="BJ206" i="1"/>
  <c r="BK206" i="1"/>
  <c r="BL206" i="1"/>
  <c r="BM206" i="1"/>
  <c r="BN206" i="1"/>
  <c r="BO206" i="1"/>
  <c r="BP206" i="1"/>
  <c r="BQ206" i="1"/>
  <c r="BR206" i="1"/>
  <c r="BS206" i="1"/>
  <c r="BT206" i="1"/>
  <c r="BU206" i="1"/>
  <c r="BV206" i="1"/>
  <c r="BW206" i="1"/>
  <c r="CN206" i="1"/>
  <c r="CO206" i="1"/>
  <c r="CP206" i="1"/>
  <c r="CQ206" i="1"/>
  <c r="CR206" i="1"/>
  <c r="CS206" i="1"/>
  <c r="CT206" i="1"/>
  <c r="CU206" i="1"/>
  <c r="CV206" i="1"/>
  <c r="CW206" i="1"/>
  <c r="CX206" i="1"/>
  <c r="CY206" i="1"/>
  <c r="CZ206" i="1"/>
  <c r="DA206" i="1"/>
  <c r="DB206" i="1"/>
  <c r="DC206" i="1"/>
  <c r="DD206" i="1"/>
  <c r="DE206" i="1"/>
  <c r="DF206" i="1"/>
  <c r="DG206" i="1"/>
  <c r="DH206" i="1"/>
  <c r="DI206" i="1"/>
  <c r="DJ206" i="1"/>
  <c r="DK206" i="1"/>
  <c r="DL206" i="1"/>
  <c r="DM206" i="1"/>
  <c r="DN206" i="1"/>
  <c r="DO206" i="1"/>
  <c r="DP206" i="1"/>
  <c r="DQ206" i="1"/>
  <c r="DR206" i="1"/>
  <c r="DS206" i="1"/>
  <c r="DT206" i="1"/>
  <c r="DU206" i="1"/>
  <c r="DV206" i="1"/>
  <c r="DW206" i="1"/>
  <c r="DX206" i="1"/>
  <c r="DY206" i="1"/>
  <c r="DZ206" i="1"/>
  <c r="EA206" i="1"/>
  <c r="EB206" i="1"/>
  <c r="EC206" i="1"/>
  <c r="ED206" i="1"/>
  <c r="EE206" i="1"/>
  <c r="EF206" i="1"/>
  <c r="EG206" i="1"/>
  <c r="EH206" i="1"/>
  <c r="EI206" i="1"/>
  <c r="EJ206" i="1"/>
  <c r="EK206" i="1"/>
  <c r="EL206" i="1"/>
  <c r="EM206" i="1"/>
  <c r="EN206" i="1"/>
  <c r="EO206" i="1"/>
  <c r="EP206" i="1"/>
  <c r="EQ206" i="1"/>
  <c r="ER206" i="1"/>
  <c r="ES206" i="1"/>
  <c r="ET206" i="1"/>
  <c r="EU206" i="1"/>
  <c r="EV206" i="1"/>
  <c r="EW206" i="1"/>
  <c r="EX206" i="1"/>
  <c r="EY206" i="1"/>
  <c r="EZ206" i="1"/>
  <c r="FA206" i="1"/>
  <c r="FB206" i="1"/>
  <c r="FC206" i="1"/>
  <c r="FD206" i="1"/>
  <c r="FE206" i="1"/>
  <c r="FF206" i="1"/>
  <c r="FG206" i="1"/>
  <c r="FH206" i="1"/>
  <c r="FI206" i="1"/>
  <c r="FJ206" i="1"/>
  <c r="FK206" i="1"/>
  <c r="FL206" i="1"/>
  <c r="FM206" i="1"/>
  <c r="FN206" i="1"/>
  <c r="FO206" i="1"/>
  <c r="FP206" i="1"/>
  <c r="FQ206" i="1"/>
  <c r="FR206" i="1"/>
  <c r="FS206" i="1"/>
  <c r="FT206" i="1"/>
  <c r="FU206" i="1"/>
  <c r="FV206" i="1"/>
  <c r="FW206" i="1"/>
  <c r="FX206" i="1"/>
  <c r="FY206" i="1"/>
  <c r="FZ206" i="1"/>
  <c r="GA206" i="1"/>
  <c r="GB206" i="1"/>
  <c r="GC206" i="1"/>
  <c r="GD206" i="1"/>
  <c r="GE206" i="1"/>
  <c r="GF206" i="1"/>
  <c r="GG206" i="1"/>
  <c r="GH206" i="1"/>
  <c r="GI206" i="1"/>
  <c r="GJ206" i="1"/>
  <c r="GK206" i="1"/>
  <c r="GL206" i="1"/>
  <c r="GM206" i="1"/>
  <c r="GN206" i="1"/>
  <c r="GO206" i="1"/>
  <c r="GP206" i="1"/>
  <c r="GQ206" i="1"/>
  <c r="GR206" i="1"/>
  <c r="GS206" i="1"/>
  <c r="GT206" i="1"/>
  <c r="GU206" i="1"/>
  <c r="GV206" i="1"/>
  <c r="GW206" i="1"/>
  <c r="GX206" i="1"/>
  <c r="I208" i="1"/>
  <c r="K208" i="1"/>
  <c r="AC208" i="1"/>
  <c r="AE208" i="1"/>
  <c r="AD208" i="1" s="1"/>
  <c r="AF208" i="1"/>
  <c r="AG208" i="1"/>
  <c r="AH208" i="1"/>
  <c r="AI208" i="1"/>
  <c r="AJ208" i="1"/>
  <c r="CQ208" i="1"/>
  <c r="P208" i="1" s="1"/>
  <c r="CR208" i="1"/>
  <c r="Q208" i="1" s="1"/>
  <c r="CS208" i="1"/>
  <c r="R208" i="1" s="1"/>
  <c r="CT208" i="1"/>
  <c r="S208" i="1" s="1"/>
  <c r="CU208" i="1"/>
  <c r="T208" i="1" s="1"/>
  <c r="CV208" i="1"/>
  <c r="U208" i="1" s="1"/>
  <c r="CW208" i="1"/>
  <c r="V208" i="1" s="1"/>
  <c r="CX208" i="1"/>
  <c r="W208" i="1" s="1"/>
  <c r="CY208" i="1"/>
  <c r="X208" i="1" s="1"/>
  <c r="CZ208" i="1"/>
  <c r="Y208" i="1" s="1"/>
  <c r="FR208" i="1"/>
  <c r="GL208" i="1"/>
  <c r="GN208" i="1"/>
  <c r="GP208" i="1"/>
  <c r="GV208" i="1"/>
  <c r="HC208" i="1"/>
  <c r="GX208" i="1" s="1"/>
  <c r="AC209" i="1"/>
  <c r="AE209" i="1"/>
  <c r="AD209" i="1" s="1"/>
  <c r="AF209" i="1"/>
  <c r="AG209" i="1"/>
  <c r="AH209" i="1"/>
  <c r="AI209" i="1"/>
  <c r="AJ209" i="1"/>
  <c r="CQ209" i="1"/>
  <c r="P209" i="1" s="1"/>
  <c r="CR209" i="1"/>
  <c r="Q209" i="1" s="1"/>
  <c r="CS209" i="1"/>
  <c r="R209" i="1" s="1"/>
  <c r="CT209" i="1"/>
  <c r="S209" i="1" s="1"/>
  <c r="CU209" i="1"/>
  <c r="T209" i="1" s="1"/>
  <c r="CV209" i="1"/>
  <c r="U209" i="1" s="1"/>
  <c r="CW209" i="1"/>
  <c r="V209" i="1" s="1"/>
  <c r="CX209" i="1"/>
  <c r="W209" i="1" s="1"/>
  <c r="CY209" i="1"/>
  <c r="X209" i="1" s="1"/>
  <c r="CZ209" i="1"/>
  <c r="Y209" i="1" s="1"/>
  <c r="FR209" i="1"/>
  <c r="GL209" i="1"/>
  <c r="GN209" i="1"/>
  <c r="GP209" i="1"/>
  <c r="GV209" i="1"/>
  <c r="HC209" i="1"/>
  <c r="GX209" i="1" s="1"/>
  <c r="AC210" i="1"/>
  <c r="AE210" i="1"/>
  <c r="AD210" i="1" s="1"/>
  <c r="AF210" i="1"/>
  <c r="AG210" i="1"/>
  <c r="AH210" i="1"/>
  <c r="AI210" i="1"/>
  <c r="AJ210" i="1"/>
  <c r="CQ210" i="1"/>
  <c r="P210" i="1" s="1"/>
  <c r="CR210" i="1"/>
  <c r="Q210" i="1" s="1"/>
  <c r="CS210" i="1"/>
  <c r="R210" i="1" s="1"/>
  <c r="CT210" i="1"/>
  <c r="S210" i="1" s="1"/>
  <c r="CU210" i="1"/>
  <c r="T210" i="1" s="1"/>
  <c r="CV210" i="1"/>
  <c r="U210" i="1" s="1"/>
  <c r="CW210" i="1"/>
  <c r="V210" i="1" s="1"/>
  <c r="CX210" i="1"/>
  <c r="W210" i="1" s="1"/>
  <c r="CY210" i="1"/>
  <c r="X210" i="1" s="1"/>
  <c r="CZ210" i="1"/>
  <c r="Y210" i="1" s="1"/>
  <c r="FR210" i="1"/>
  <c r="GL210" i="1"/>
  <c r="GO210" i="1"/>
  <c r="GP210" i="1"/>
  <c r="GV210" i="1"/>
  <c r="HC210" i="1"/>
  <c r="GX210" i="1" s="1"/>
  <c r="I211" i="1"/>
  <c r="K211" i="1"/>
  <c r="AC211" i="1"/>
  <c r="AE211" i="1"/>
  <c r="AD211" i="1" s="1"/>
  <c r="AF211" i="1"/>
  <c r="AG211" i="1"/>
  <c r="AH211" i="1"/>
  <c r="AI211" i="1"/>
  <c r="AJ211" i="1"/>
  <c r="CQ211" i="1"/>
  <c r="P211" i="1" s="1"/>
  <c r="CR211" i="1"/>
  <c r="Q211" i="1" s="1"/>
  <c r="CS211" i="1"/>
  <c r="R211" i="1" s="1"/>
  <c r="CT211" i="1"/>
  <c r="S211" i="1" s="1"/>
  <c r="CU211" i="1"/>
  <c r="T211" i="1" s="1"/>
  <c r="CV211" i="1"/>
  <c r="U211" i="1" s="1"/>
  <c r="CW211" i="1"/>
  <c r="V211" i="1" s="1"/>
  <c r="CX211" i="1"/>
  <c r="W211" i="1" s="1"/>
  <c r="CY211" i="1"/>
  <c r="X211" i="1" s="1"/>
  <c r="CZ211" i="1"/>
  <c r="Y211" i="1" s="1"/>
  <c r="FR211" i="1"/>
  <c r="GL211" i="1"/>
  <c r="GN211" i="1"/>
  <c r="GP211" i="1"/>
  <c r="GV211" i="1"/>
  <c r="HC211" i="1"/>
  <c r="GX211" i="1" s="1"/>
  <c r="I212" i="1"/>
  <c r="K212" i="1"/>
  <c r="AC212" i="1"/>
  <c r="AE212" i="1"/>
  <c r="AD212" i="1" s="1"/>
  <c r="AF212" i="1"/>
  <c r="AG212" i="1"/>
  <c r="AH212" i="1"/>
  <c r="AI212" i="1"/>
  <c r="AJ212" i="1"/>
  <c r="CQ212" i="1"/>
  <c r="P212" i="1" s="1"/>
  <c r="CR212" i="1"/>
  <c r="Q212" i="1" s="1"/>
  <c r="CS212" i="1"/>
  <c r="R212" i="1" s="1"/>
  <c r="CT212" i="1"/>
  <c r="S212" i="1" s="1"/>
  <c r="CU212" i="1"/>
  <c r="T212" i="1" s="1"/>
  <c r="CV212" i="1"/>
  <c r="U212" i="1" s="1"/>
  <c r="CW212" i="1"/>
  <c r="V212" i="1" s="1"/>
  <c r="CX212" i="1"/>
  <c r="W212" i="1" s="1"/>
  <c r="CY212" i="1"/>
  <c r="X212" i="1" s="1"/>
  <c r="CZ212" i="1"/>
  <c r="Y212" i="1" s="1"/>
  <c r="FR212" i="1"/>
  <c r="GL212" i="1"/>
  <c r="GN212" i="1"/>
  <c r="GP212" i="1"/>
  <c r="GV212" i="1"/>
  <c r="HC212" i="1"/>
  <c r="GX212" i="1" s="1"/>
  <c r="AC213" i="1"/>
  <c r="AE213" i="1"/>
  <c r="AD213" i="1" s="1"/>
  <c r="AF213" i="1"/>
  <c r="AG213" i="1"/>
  <c r="AH213" i="1"/>
  <c r="AI213" i="1"/>
  <c r="AJ213" i="1"/>
  <c r="CQ213" i="1"/>
  <c r="P213" i="1" s="1"/>
  <c r="CR213" i="1"/>
  <c r="Q213" i="1" s="1"/>
  <c r="CS213" i="1"/>
  <c r="R213" i="1" s="1"/>
  <c r="CT213" i="1"/>
  <c r="S213" i="1" s="1"/>
  <c r="CU213" i="1"/>
  <c r="T213" i="1" s="1"/>
  <c r="CV213" i="1"/>
  <c r="U213" i="1" s="1"/>
  <c r="CW213" i="1"/>
  <c r="V213" i="1" s="1"/>
  <c r="CX213" i="1"/>
  <c r="W213" i="1" s="1"/>
  <c r="CY213" i="1"/>
  <c r="X213" i="1" s="1"/>
  <c r="CZ213" i="1"/>
  <c r="Y213" i="1" s="1"/>
  <c r="FR213" i="1"/>
  <c r="GL213" i="1"/>
  <c r="GO213" i="1"/>
  <c r="GP213" i="1"/>
  <c r="GV213" i="1"/>
  <c r="HC213" i="1"/>
  <c r="GX213" i="1" s="1"/>
  <c r="AC214" i="1"/>
  <c r="AE214" i="1"/>
  <c r="AD214" i="1" s="1"/>
  <c r="AF214" i="1"/>
  <c r="AG214" i="1"/>
  <c r="AH214" i="1"/>
  <c r="AI214" i="1"/>
  <c r="AJ214" i="1"/>
  <c r="CQ214" i="1"/>
  <c r="P214" i="1" s="1"/>
  <c r="CR214" i="1"/>
  <c r="Q214" i="1" s="1"/>
  <c r="CS214" i="1"/>
  <c r="R214" i="1" s="1"/>
  <c r="CT214" i="1"/>
  <c r="S214" i="1" s="1"/>
  <c r="CU214" i="1"/>
  <c r="T214" i="1" s="1"/>
  <c r="CV214" i="1"/>
  <c r="U214" i="1" s="1"/>
  <c r="CW214" i="1"/>
  <c r="V214" i="1" s="1"/>
  <c r="CX214" i="1"/>
  <c r="W214" i="1" s="1"/>
  <c r="CY214" i="1"/>
  <c r="X214" i="1" s="1"/>
  <c r="CZ214" i="1"/>
  <c r="Y214" i="1" s="1"/>
  <c r="FR214" i="1"/>
  <c r="GL214" i="1"/>
  <c r="GO214" i="1"/>
  <c r="GP214" i="1"/>
  <c r="GV214" i="1"/>
  <c r="HC214" i="1"/>
  <c r="GX214" i="1" s="1"/>
  <c r="AC215" i="1"/>
  <c r="AE215" i="1"/>
  <c r="AD215" i="1" s="1"/>
  <c r="AF215" i="1"/>
  <c r="AG215" i="1"/>
  <c r="AH215" i="1"/>
  <c r="AI215" i="1"/>
  <c r="AJ215" i="1"/>
  <c r="CQ215" i="1"/>
  <c r="P215" i="1" s="1"/>
  <c r="CR215" i="1"/>
  <c r="Q215" i="1" s="1"/>
  <c r="CS215" i="1"/>
  <c r="R215" i="1" s="1"/>
  <c r="CT215" i="1"/>
  <c r="S215" i="1" s="1"/>
  <c r="CU215" i="1"/>
  <c r="T215" i="1" s="1"/>
  <c r="CV215" i="1"/>
  <c r="U215" i="1" s="1"/>
  <c r="CW215" i="1"/>
  <c r="V215" i="1" s="1"/>
  <c r="CX215" i="1"/>
  <c r="W215" i="1" s="1"/>
  <c r="CY215" i="1"/>
  <c r="X215" i="1" s="1"/>
  <c r="CZ215" i="1"/>
  <c r="Y215" i="1" s="1"/>
  <c r="FR215" i="1"/>
  <c r="GL215" i="1"/>
  <c r="GO215" i="1"/>
  <c r="GP215" i="1"/>
  <c r="GV215" i="1"/>
  <c r="HC215" i="1"/>
  <c r="GX215" i="1" s="1"/>
  <c r="I216" i="1"/>
  <c r="K216" i="1"/>
  <c r="AC216" i="1"/>
  <c r="AE216" i="1"/>
  <c r="AD216" i="1" s="1"/>
  <c r="AF216" i="1"/>
  <c r="AG216" i="1"/>
  <c r="AH216" i="1"/>
  <c r="AI216" i="1"/>
  <c r="AJ216" i="1"/>
  <c r="CQ216" i="1"/>
  <c r="P216" i="1" s="1"/>
  <c r="CR216" i="1"/>
  <c r="Q216" i="1" s="1"/>
  <c r="CS216" i="1"/>
  <c r="R216" i="1" s="1"/>
  <c r="CT216" i="1"/>
  <c r="S216" i="1" s="1"/>
  <c r="CU216" i="1"/>
  <c r="T216" i="1" s="1"/>
  <c r="CV216" i="1"/>
  <c r="U216" i="1" s="1"/>
  <c r="CW216" i="1"/>
  <c r="V216" i="1" s="1"/>
  <c r="CX216" i="1"/>
  <c r="W216" i="1" s="1"/>
  <c r="CY216" i="1"/>
  <c r="X216" i="1" s="1"/>
  <c r="CZ216" i="1"/>
  <c r="Y216" i="1" s="1"/>
  <c r="FR216" i="1"/>
  <c r="GL216" i="1"/>
  <c r="GO216" i="1"/>
  <c r="GP216" i="1"/>
  <c r="GV216" i="1"/>
  <c r="HC216" i="1"/>
  <c r="GX216" i="1" s="1"/>
  <c r="B218" i="1"/>
  <c r="B206" i="1" s="1"/>
  <c r="C218" i="1"/>
  <c r="C206" i="1" s="1"/>
  <c r="D218" i="1"/>
  <c r="D206" i="1" s="1"/>
  <c r="F218" i="1"/>
  <c r="F206" i="1" s="1"/>
  <c r="G218" i="1"/>
  <c r="G206" i="1" s="1"/>
  <c r="AC218" i="1"/>
  <c r="AD218" i="1"/>
  <c r="AE218" i="1"/>
  <c r="AF218" i="1"/>
  <c r="AG218" i="1"/>
  <c r="AH218" i="1"/>
  <c r="AI218" i="1"/>
  <c r="AJ218" i="1"/>
  <c r="AK218" i="1"/>
  <c r="AL218" i="1"/>
  <c r="BX218" i="1"/>
  <c r="BY218" i="1"/>
  <c r="BZ218" i="1"/>
  <c r="CD218" i="1"/>
  <c r="CE218" i="1"/>
  <c r="CF218" i="1"/>
  <c r="CG218" i="1"/>
  <c r="CH218" i="1"/>
  <c r="CI218" i="1"/>
  <c r="CJ218" i="1"/>
  <c r="CK218" i="1"/>
  <c r="CL218" i="1"/>
  <c r="CM218" i="1"/>
  <c r="D248" i="1"/>
  <c r="E250" i="1"/>
  <c r="Z250" i="1"/>
  <c r="AA250" i="1"/>
  <c r="AM250" i="1"/>
  <c r="AN250" i="1"/>
  <c r="BE250" i="1"/>
  <c r="BF250" i="1"/>
  <c r="BG250" i="1"/>
  <c r="BH250" i="1"/>
  <c r="BI250" i="1"/>
  <c r="BJ250" i="1"/>
  <c r="BK250" i="1"/>
  <c r="BL250" i="1"/>
  <c r="BM250" i="1"/>
  <c r="BN250" i="1"/>
  <c r="BO250" i="1"/>
  <c r="BP250" i="1"/>
  <c r="BQ250" i="1"/>
  <c r="BR250" i="1"/>
  <c r="BS250" i="1"/>
  <c r="BT250" i="1"/>
  <c r="BU250" i="1"/>
  <c r="BV250" i="1"/>
  <c r="BW250" i="1"/>
  <c r="CN250" i="1"/>
  <c r="CO250" i="1"/>
  <c r="CP250" i="1"/>
  <c r="CQ250" i="1"/>
  <c r="CR250" i="1"/>
  <c r="CS250" i="1"/>
  <c r="CT250" i="1"/>
  <c r="CU250" i="1"/>
  <c r="CV250" i="1"/>
  <c r="CW250" i="1"/>
  <c r="CX250" i="1"/>
  <c r="CY250" i="1"/>
  <c r="CZ250" i="1"/>
  <c r="DA250" i="1"/>
  <c r="DB250" i="1"/>
  <c r="DC250" i="1"/>
  <c r="DD250" i="1"/>
  <c r="DE250" i="1"/>
  <c r="DF250" i="1"/>
  <c r="DG250" i="1"/>
  <c r="DH250" i="1"/>
  <c r="DI250" i="1"/>
  <c r="DJ250" i="1"/>
  <c r="DK250" i="1"/>
  <c r="DL250" i="1"/>
  <c r="DM250" i="1"/>
  <c r="DN250" i="1"/>
  <c r="DO250" i="1"/>
  <c r="DP250" i="1"/>
  <c r="DQ250" i="1"/>
  <c r="DR250" i="1"/>
  <c r="DS250" i="1"/>
  <c r="DT250" i="1"/>
  <c r="DU250" i="1"/>
  <c r="DV250" i="1"/>
  <c r="DW250" i="1"/>
  <c r="DX250" i="1"/>
  <c r="DY250" i="1"/>
  <c r="DZ250" i="1"/>
  <c r="EA250" i="1"/>
  <c r="EB250" i="1"/>
  <c r="EC250" i="1"/>
  <c r="ED250" i="1"/>
  <c r="EE250" i="1"/>
  <c r="EF250" i="1"/>
  <c r="EG250" i="1"/>
  <c r="EH250" i="1"/>
  <c r="EI250" i="1"/>
  <c r="EJ250" i="1"/>
  <c r="EK250" i="1"/>
  <c r="EL250" i="1"/>
  <c r="EM250" i="1"/>
  <c r="EN250" i="1"/>
  <c r="EO250" i="1"/>
  <c r="EP250" i="1"/>
  <c r="EQ250" i="1"/>
  <c r="ER250" i="1"/>
  <c r="ES250" i="1"/>
  <c r="ET250" i="1"/>
  <c r="EU250" i="1"/>
  <c r="EV250" i="1"/>
  <c r="EW250" i="1"/>
  <c r="EX250" i="1"/>
  <c r="EY250" i="1"/>
  <c r="EZ250" i="1"/>
  <c r="FA250" i="1"/>
  <c r="FB250" i="1"/>
  <c r="FC250" i="1"/>
  <c r="FD250" i="1"/>
  <c r="FE250" i="1"/>
  <c r="FF250" i="1"/>
  <c r="FG250" i="1"/>
  <c r="FH250" i="1"/>
  <c r="FI250" i="1"/>
  <c r="FJ250" i="1"/>
  <c r="FK250" i="1"/>
  <c r="FL250" i="1"/>
  <c r="FM250" i="1"/>
  <c r="FN250" i="1"/>
  <c r="FO250" i="1"/>
  <c r="FP250" i="1"/>
  <c r="FQ250" i="1"/>
  <c r="FR250" i="1"/>
  <c r="FS250" i="1"/>
  <c r="FT250" i="1"/>
  <c r="FU250" i="1"/>
  <c r="FV250" i="1"/>
  <c r="FW250" i="1"/>
  <c r="FX250" i="1"/>
  <c r="FY250" i="1"/>
  <c r="FZ250" i="1"/>
  <c r="GA250" i="1"/>
  <c r="GB250" i="1"/>
  <c r="GC250" i="1"/>
  <c r="GD250" i="1"/>
  <c r="GE250" i="1"/>
  <c r="GF250" i="1"/>
  <c r="GG250" i="1"/>
  <c r="GH250" i="1"/>
  <c r="GI250" i="1"/>
  <c r="GJ250" i="1"/>
  <c r="GK250" i="1"/>
  <c r="GL250" i="1"/>
  <c r="GM250" i="1"/>
  <c r="GN250" i="1"/>
  <c r="GO250" i="1"/>
  <c r="GP250" i="1"/>
  <c r="GQ250" i="1"/>
  <c r="GR250" i="1"/>
  <c r="GS250" i="1"/>
  <c r="GT250" i="1"/>
  <c r="GU250" i="1"/>
  <c r="GV250" i="1"/>
  <c r="GW250" i="1"/>
  <c r="GX250" i="1"/>
  <c r="AC252" i="1"/>
  <c r="AD252" i="1"/>
  <c r="AE252" i="1"/>
  <c r="AF252" i="1"/>
  <c r="AG252" i="1"/>
  <c r="AH252" i="1"/>
  <c r="AI252" i="1"/>
  <c r="AJ252" i="1"/>
  <c r="CQ252" i="1"/>
  <c r="P252" i="1" s="1"/>
  <c r="CR252" i="1"/>
  <c r="Q252" i="1" s="1"/>
  <c r="CS252" i="1"/>
  <c r="R252" i="1" s="1"/>
  <c r="CT252" i="1"/>
  <c r="S252" i="1" s="1"/>
  <c r="CU252" i="1"/>
  <c r="T252" i="1" s="1"/>
  <c r="CV252" i="1"/>
  <c r="U252" i="1" s="1"/>
  <c r="CW252" i="1"/>
  <c r="V252" i="1" s="1"/>
  <c r="CX252" i="1"/>
  <c r="W252" i="1" s="1"/>
  <c r="CY252" i="1"/>
  <c r="X252" i="1" s="1"/>
  <c r="CZ252" i="1"/>
  <c r="Y252" i="1" s="1"/>
  <c r="FR252" i="1"/>
  <c r="GL252" i="1"/>
  <c r="GO252" i="1"/>
  <c r="GP252" i="1"/>
  <c r="GV252" i="1"/>
  <c r="HC252" i="1"/>
  <c r="GX252" i="1" s="1"/>
  <c r="HG252" i="1"/>
  <c r="AC253" i="1"/>
  <c r="AD253" i="1"/>
  <c r="AE253" i="1"/>
  <c r="AF253" i="1"/>
  <c r="AG253" i="1"/>
  <c r="AH253" i="1"/>
  <c r="AI253" i="1"/>
  <c r="AJ253" i="1"/>
  <c r="CQ253" i="1"/>
  <c r="P253" i="1" s="1"/>
  <c r="CR253" i="1"/>
  <c r="Q253" i="1" s="1"/>
  <c r="CS253" i="1"/>
  <c r="R253" i="1" s="1"/>
  <c r="CT253" i="1"/>
  <c r="S253" i="1" s="1"/>
  <c r="CU253" i="1"/>
  <c r="T253" i="1" s="1"/>
  <c r="CV253" i="1"/>
  <c r="U253" i="1" s="1"/>
  <c r="CW253" i="1"/>
  <c r="V253" i="1" s="1"/>
  <c r="CX253" i="1"/>
  <c r="W253" i="1" s="1"/>
  <c r="CY253" i="1"/>
  <c r="X253" i="1" s="1"/>
  <c r="CZ253" i="1"/>
  <c r="Y253" i="1" s="1"/>
  <c r="FR253" i="1"/>
  <c r="GL253" i="1"/>
  <c r="GO253" i="1"/>
  <c r="GP253" i="1"/>
  <c r="GV253" i="1"/>
  <c r="HC253" i="1"/>
  <c r="GX253" i="1" s="1"/>
  <c r="HG253" i="1"/>
  <c r="AC254" i="1"/>
  <c r="AD254" i="1"/>
  <c r="AE254" i="1"/>
  <c r="AF254" i="1"/>
  <c r="AG254" i="1"/>
  <c r="AH254" i="1"/>
  <c r="AI254" i="1"/>
  <c r="AJ254" i="1"/>
  <c r="CQ254" i="1"/>
  <c r="P254" i="1" s="1"/>
  <c r="CR254" i="1"/>
  <c r="Q254" i="1" s="1"/>
  <c r="CS254" i="1"/>
  <c r="R254" i="1" s="1"/>
  <c r="CT254" i="1"/>
  <c r="S254" i="1" s="1"/>
  <c r="CU254" i="1"/>
  <c r="T254" i="1" s="1"/>
  <c r="CV254" i="1"/>
  <c r="U254" i="1" s="1"/>
  <c r="CW254" i="1"/>
  <c r="V254" i="1" s="1"/>
  <c r="CX254" i="1"/>
  <c r="W254" i="1" s="1"/>
  <c r="CY254" i="1"/>
  <c r="X254" i="1" s="1"/>
  <c r="CZ254" i="1"/>
  <c r="Y254" i="1" s="1"/>
  <c r="FR254" i="1"/>
  <c r="GL254" i="1"/>
  <c r="GO254" i="1"/>
  <c r="GP254" i="1"/>
  <c r="GV254" i="1"/>
  <c r="HC254" i="1"/>
  <c r="GX254" i="1" s="1"/>
  <c r="HG254" i="1"/>
  <c r="B256" i="1"/>
  <c r="B250" i="1" s="1"/>
  <c r="C256" i="1"/>
  <c r="C250" i="1" s="1"/>
  <c r="D256" i="1"/>
  <c r="D250" i="1" s="1"/>
  <c r="F256" i="1"/>
  <c r="F250" i="1" s="1"/>
  <c r="G256" i="1"/>
  <c r="G250" i="1" s="1"/>
  <c r="AC256" i="1"/>
  <c r="AD256" i="1"/>
  <c r="AE256" i="1"/>
  <c r="AF256" i="1"/>
  <c r="AG256" i="1"/>
  <c r="AH256" i="1"/>
  <c r="AI256" i="1"/>
  <c r="AJ256" i="1"/>
  <c r="AK256" i="1"/>
  <c r="AL256" i="1"/>
  <c r="BX256" i="1"/>
  <c r="BY256" i="1"/>
  <c r="BZ256" i="1"/>
  <c r="CC256" i="1"/>
  <c r="CD256" i="1"/>
  <c r="CE256" i="1"/>
  <c r="CF256" i="1"/>
  <c r="CG256" i="1"/>
  <c r="CH256" i="1"/>
  <c r="CI256" i="1"/>
  <c r="CJ256" i="1"/>
  <c r="CK256" i="1"/>
  <c r="CL256" i="1"/>
  <c r="CM256" i="1"/>
  <c r="D286" i="1"/>
  <c r="E288" i="1"/>
  <c r="Z288" i="1"/>
  <c r="AA288" i="1"/>
  <c r="AM288" i="1"/>
  <c r="AN288" i="1"/>
  <c r="BE288" i="1"/>
  <c r="BF288" i="1"/>
  <c r="BG288" i="1"/>
  <c r="BH288" i="1"/>
  <c r="BI288" i="1"/>
  <c r="BJ288" i="1"/>
  <c r="BK288" i="1"/>
  <c r="BL288" i="1"/>
  <c r="BM288" i="1"/>
  <c r="BN288" i="1"/>
  <c r="BO288" i="1"/>
  <c r="BP288" i="1"/>
  <c r="BQ288" i="1"/>
  <c r="BR288" i="1"/>
  <c r="BS288" i="1"/>
  <c r="BT288" i="1"/>
  <c r="BU288" i="1"/>
  <c r="BV288" i="1"/>
  <c r="BW288" i="1"/>
  <c r="CN288" i="1"/>
  <c r="CO288" i="1"/>
  <c r="CP288" i="1"/>
  <c r="CQ288" i="1"/>
  <c r="CR288" i="1"/>
  <c r="CS288" i="1"/>
  <c r="CT288" i="1"/>
  <c r="CU288" i="1"/>
  <c r="CV288" i="1"/>
  <c r="CW288" i="1"/>
  <c r="CX288" i="1"/>
  <c r="CY288" i="1"/>
  <c r="CZ288" i="1"/>
  <c r="DA288" i="1"/>
  <c r="DB288" i="1"/>
  <c r="DC288" i="1"/>
  <c r="DD288" i="1"/>
  <c r="DE288" i="1"/>
  <c r="DF288" i="1"/>
  <c r="DG288" i="1"/>
  <c r="DH288" i="1"/>
  <c r="DI288" i="1"/>
  <c r="DJ288" i="1"/>
  <c r="DK288" i="1"/>
  <c r="DL288" i="1"/>
  <c r="DM288" i="1"/>
  <c r="DN288" i="1"/>
  <c r="DO288" i="1"/>
  <c r="DP288" i="1"/>
  <c r="DQ288" i="1"/>
  <c r="DR288" i="1"/>
  <c r="DS288" i="1"/>
  <c r="DT288" i="1"/>
  <c r="DU288" i="1"/>
  <c r="DV288" i="1"/>
  <c r="DW288" i="1"/>
  <c r="DX288" i="1"/>
  <c r="DY288" i="1"/>
  <c r="DZ288" i="1"/>
  <c r="EA288" i="1"/>
  <c r="EB288" i="1"/>
  <c r="EC288" i="1"/>
  <c r="ED288" i="1"/>
  <c r="EE288" i="1"/>
  <c r="EF288" i="1"/>
  <c r="EG288" i="1"/>
  <c r="EH288" i="1"/>
  <c r="EI288" i="1"/>
  <c r="EJ288" i="1"/>
  <c r="EK288" i="1"/>
  <c r="EL288" i="1"/>
  <c r="EM288" i="1"/>
  <c r="EN288" i="1"/>
  <c r="EO288" i="1"/>
  <c r="EP288" i="1"/>
  <c r="EQ288" i="1"/>
  <c r="ER288" i="1"/>
  <c r="ES288" i="1"/>
  <c r="ET288" i="1"/>
  <c r="EU288" i="1"/>
  <c r="EV288" i="1"/>
  <c r="EW288" i="1"/>
  <c r="EX288" i="1"/>
  <c r="EY288" i="1"/>
  <c r="EZ288" i="1"/>
  <c r="FA288" i="1"/>
  <c r="FB288" i="1"/>
  <c r="FC288" i="1"/>
  <c r="FD288" i="1"/>
  <c r="FE288" i="1"/>
  <c r="FF288" i="1"/>
  <c r="FG288" i="1"/>
  <c r="FH288" i="1"/>
  <c r="FI288" i="1"/>
  <c r="FJ288" i="1"/>
  <c r="FK288" i="1"/>
  <c r="FL288" i="1"/>
  <c r="FM288" i="1"/>
  <c r="FN288" i="1"/>
  <c r="FO288" i="1"/>
  <c r="FP288" i="1"/>
  <c r="FQ288" i="1"/>
  <c r="FR288" i="1"/>
  <c r="FS288" i="1"/>
  <c r="FT288" i="1"/>
  <c r="FU288" i="1"/>
  <c r="FV288" i="1"/>
  <c r="FW288" i="1"/>
  <c r="FX288" i="1"/>
  <c r="FY288" i="1"/>
  <c r="FZ288" i="1"/>
  <c r="GA288" i="1"/>
  <c r="GB288" i="1"/>
  <c r="GC288" i="1"/>
  <c r="GD288" i="1"/>
  <c r="GE288" i="1"/>
  <c r="GF288" i="1"/>
  <c r="GG288" i="1"/>
  <c r="GH288" i="1"/>
  <c r="GI288" i="1"/>
  <c r="GJ288" i="1"/>
  <c r="GK288" i="1"/>
  <c r="GL288" i="1"/>
  <c r="GM288" i="1"/>
  <c r="GN288" i="1"/>
  <c r="GO288" i="1"/>
  <c r="GP288" i="1"/>
  <c r="GQ288" i="1"/>
  <c r="GR288" i="1"/>
  <c r="GS288" i="1"/>
  <c r="GT288" i="1"/>
  <c r="GU288" i="1"/>
  <c r="GV288" i="1"/>
  <c r="GW288" i="1"/>
  <c r="GX288" i="1"/>
  <c r="C290" i="1"/>
  <c r="D290" i="1"/>
  <c r="P290" i="1"/>
  <c r="Q290" i="1"/>
  <c r="R290" i="1"/>
  <c r="S290" i="1"/>
  <c r="CP290" i="1" s="1"/>
  <c r="O290" i="1" s="1"/>
  <c r="U290" i="1"/>
  <c r="G912" i="7" s="1"/>
  <c r="V290" i="1"/>
  <c r="AC290" i="1"/>
  <c r="AE290" i="1"/>
  <c r="AD290" i="1" s="1"/>
  <c r="AF290" i="1"/>
  <c r="AG290" i="1"/>
  <c r="AH290" i="1"/>
  <c r="AI290" i="1"/>
  <c r="AJ290" i="1"/>
  <c r="CQ290" i="1"/>
  <c r="CR290" i="1"/>
  <c r="CS290" i="1"/>
  <c r="CT290" i="1"/>
  <c r="CU290" i="1"/>
  <c r="T290" i="1" s="1"/>
  <c r="CV290" i="1"/>
  <c r="CW290" i="1"/>
  <c r="CX290" i="1"/>
  <c r="W290" i="1" s="1"/>
  <c r="CZ290" i="1"/>
  <c r="Y290" i="1" s="1"/>
  <c r="BA919" i="7" s="1"/>
  <c r="FR290" i="1"/>
  <c r="GL290" i="1"/>
  <c r="GN290" i="1"/>
  <c r="GO290" i="1"/>
  <c r="CC308" i="1" s="1"/>
  <c r="GV290" i="1"/>
  <c r="HC290" i="1"/>
  <c r="GX290" i="1" s="1"/>
  <c r="C291" i="1"/>
  <c r="D291" i="1"/>
  <c r="P291" i="1"/>
  <c r="Q291" i="1"/>
  <c r="R291" i="1"/>
  <c r="S291" i="1"/>
  <c r="CP291" i="1" s="1"/>
  <c r="O291" i="1" s="1"/>
  <c r="U291" i="1"/>
  <c r="G921" i="7" s="1"/>
  <c r="V291" i="1"/>
  <c r="AC291" i="1"/>
  <c r="AE291" i="1"/>
  <c r="AD291" i="1" s="1"/>
  <c r="AF291" i="1"/>
  <c r="AG291" i="1"/>
  <c r="AH291" i="1"/>
  <c r="AI291" i="1"/>
  <c r="AJ291" i="1"/>
  <c r="CQ291" i="1"/>
  <c r="CR291" i="1"/>
  <c r="CS291" i="1"/>
  <c r="CT291" i="1"/>
  <c r="CU291" i="1"/>
  <c r="T291" i="1" s="1"/>
  <c r="CV291" i="1"/>
  <c r="CW291" i="1"/>
  <c r="CX291" i="1"/>
  <c r="W291" i="1" s="1"/>
  <c r="CZ291" i="1"/>
  <c r="Y291" i="1" s="1"/>
  <c r="BA928" i="7" s="1"/>
  <c r="L927" i="7" s="1"/>
  <c r="FR291" i="1"/>
  <c r="GL291" i="1"/>
  <c r="GN291" i="1"/>
  <c r="GO291" i="1"/>
  <c r="GV291" i="1"/>
  <c r="HC291" i="1"/>
  <c r="GX291" i="1" s="1"/>
  <c r="C292" i="1"/>
  <c r="D292" i="1"/>
  <c r="P292" i="1"/>
  <c r="Q292" i="1"/>
  <c r="R292" i="1"/>
  <c r="S292" i="1"/>
  <c r="CP292" i="1" s="1"/>
  <c r="O292" i="1" s="1"/>
  <c r="U292" i="1"/>
  <c r="G930" i="7" s="1"/>
  <c r="V292" i="1"/>
  <c r="AC292" i="1"/>
  <c r="AE292" i="1"/>
  <c r="AD292" i="1" s="1"/>
  <c r="AF292" i="1"/>
  <c r="AG292" i="1"/>
  <c r="AH292" i="1"/>
  <c r="AI292" i="1"/>
  <c r="AJ292" i="1"/>
  <c r="CQ292" i="1"/>
  <c r="CR292" i="1"/>
  <c r="CS292" i="1"/>
  <c r="CT292" i="1"/>
  <c r="CU292" i="1"/>
  <c r="T292" i="1" s="1"/>
  <c r="CV292" i="1"/>
  <c r="CW292" i="1"/>
  <c r="CX292" i="1"/>
  <c r="W292" i="1" s="1"/>
  <c r="CZ292" i="1"/>
  <c r="Y292" i="1" s="1"/>
  <c r="BA937" i="7" s="1"/>
  <c r="L936" i="7" s="1"/>
  <c r="FR292" i="1"/>
  <c r="GL292" i="1"/>
  <c r="GN292" i="1"/>
  <c r="GO292" i="1"/>
  <c r="GV292" i="1"/>
  <c r="HC292" i="1"/>
  <c r="GX292" i="1" s="1"/>
  <c r="C293" i="1"/>
  <c r="D293" i="1"/>
  <c r="P293" i="1"/>
  <c r="Q293" i="1"/>
  <c r="R293" i="1"/>
  <c r="S293" i="1"/>
  <c r="CP293" i="1" s="1"/>
  <c r="O293" i="1" s="1"/>
  <c r="U293" i="1"/>
  <c r="G939" i="7" s="1"/>
  <c r="V293" i="1"/>
  <c r="AC293" i="1"/>
  <c r="AE293" i="1"/>
  <c r="AD293" i="1" s="1"/>
  <c r="AF293" i="1"/>
  <c r="AG293" i="1"/>
  <c r="AH293" i="1"/>
  <c r="AI293" i="1"/>
  <c r="AJ293" i="1"/>
  <c r="CQ293" i="1"/>
  <c r="CR293" i="1"/>
  <c r="CS293" i="1"/>
  <c r="CT293" i="1"/>
  <c r="CU293" i="1"/>
  <c r="T293" i="1" s="1"/>
  <c r="CV293" i="1"/>
  <c r="CW293" i="1"/>
  <c r="CX293" i="1"/>
  <c r="W293" i="1" s="1"/>
  <c r="CZ293" i="1"/>
  <c r="Y293" i="1" s="1"/>
  <c r="BA946" i="7" s="1"/>
  <c r="L945" i="7" s="1"/>
  <c r="FR293" i="1"/>
  <c r="GL293" i="1"/>
  <c r="GN293" i="1"/>
  <c r="GO293" i="1"/>
  <c r="GV293" i="1"/>
  <c r="HC293" i="1"/>
  <c r="GX293" i="1" s="1"/>
  <c r="C294" i="1"/>
  <c r="D294" i="1"/>
  <c r="P294" i="1"/>
  <c r="Q294" i="1"/>
  <c r="R294" i="1"/>
  <c r="S294" i="1"/>
  <c r="CP294" i="1" s="1"/>
  <c r="O294" i="1" s="1"/>
  <c r="U294" i="1"/>
  <c r="G948" i="7" s="1"/>
  <c r="V294" i="1"/>
  <c r="AC294" i="1"/>
  <c r="AE294" i="1"/>
  <c r="AD294" i="1" s="1"/>
  <c r="AF294" i="1"/>
  <c r="AG294" i="1"/>
  <c r="AH294" i="1"/>
  <c r="AI294" i="1"/>
  <c r="AJ294" i="1"/>
  <c r="CQ294" i="1"/>
  <c r="CR294" i="1"/>
  <c r="CS294" i="1"/>
  <c r="CT294" i="1"/>
  <c r="CU294" i="1"/>
  <c r="T294" i="1" s="1"/>
  <c r="CV294" i="1"/>
  <c r="CW294" i="1"/>
  <c r="CX294" i="1"/>
  <c r="W294" i="1" s="1"/>
  <c r="CZ294" i="1"/>
  <c r="Y294" i="1" s="1"/>
  <c r="BA956" i="7" s="1"/>
  <c r="L955" i="7" s="1"/>
  <c r="FR294" i="1"/>
  <c r="GL294" i="1"/>
  <c r="GN294" i="1"/>
  <c r="GO294" i="1"/>
  <c r="GV294" i="1"/>
  <c r="HC294" i="1"/>
  <c r="GX294" i="1" s="1"/>
  <c r="C295" i="1"/>
  <c r="D295" i="1"/>
  <c r="P295" i="1"/>
  <c r="Q295" i="1"/>
  <c r="R295" i="1"/>
  <c r="S295" i="1"/>
  <c r="CP295" i="1" s="1"/>
  <c r="O295" i="1" s="1"/>
  <c r="U295" i="1"/>
  <c r="G958" i="7" s="1"/>
  <c r="V295" i="1"/>
  <c r="AC295" i="1"/>
  <c r="AE295" i="1"/>
  <c r="AD295" i="1" s="1"/>
  <c r="AF295" i="1"/>
  <c r="AG295" i="1"/>
  <c r="AH295" i="1"/>
  <c r="AI295" i="1"/>
  <c r="AJ295" i="1"/>
  <c r="CQ295" i="1"/>
  <c r="CR295" i="1"/>
  <c r="CS295" i="1"/>
  <c r="CT295" i="1"/>
  <c r="CU295" i="1"/>
  <c r="T295" i="1" s="1"/>
  <c r="CV295" i="1"/>
  <c r="CW295" i="1"/>
  <c r="CX295" i="1"/>
  <c r="W295" i="1" s="1"/>
  <c r="CZ295" i="1"/>
  <c r="Y295" i="1" s="1"/>
  <c r="BA966" i="7" s="1"/>
  <c r="L965" i="7" s="1"/>
  <c r="FR295" i="1"/>
  <c r="GL295" i="1"/>
  <c r="GN295" i="1"/>
  <c r="GO295" i="1"/>
  <c r="GV295" i="1"/>
  <c r="HC295" i="1"/>
  <c r="GX295" i="1" s="1"/>
  <c r="C296" i="1"/>
  <c r="D296" i="1"/>
  <c r="P296" i="1"/>
  <c r="Q296" i="1"/>
  <c r="R296" i="1"/>
  <c r="S296" i="1"/>
  <c r="CP296" i="1" s="1"/>
  <c r="O296" i="1" s="1"/>
  <c r="U296" i="1"/>
  <c r="G968" i="7" s="1"/>
  <c r="V296" i="1"/>
  <c r="AC296" i="1"/>
  <c r="AE296" i="1"/>
  <c r="AD296" i="1" s="1"/>
  <c r="AF296" i="1"/>
  <c r="AG296" i="1"/>
  <c r="AH296" i="1"/>
  <c r="AI296" i="1"/>
  <c r="AJ296" i="1"/>
  <c r="CQ296" i="1"/>
  <c r="CR296" i="1"/>
  <c r="CS296" i="1"/>
  <c r="CT296" i="1"/>
  <c r="CU296" i="1"/>
  <c r="T296" i="1" s="1"/>
  <c r="CV296" i="1"/>
  <c r="CW296" i="1"/>
  <c r="CX296" i="1"/>
  <c r="W296" i="1" s="1"/>
  <c r="CZ296" i="1"/>
  <c r="Y296" i="1" s="1"/>
  <c r="BA975" i="7" s="1"/>
  <c r="L974" i="7" s="1"/>
  <c r="FR296" i="1"/>
  <c r="GL296" i="1"/>
  <c r="GN296" i="1"/>
  <c r="GO296" i="1"/>
  <c r="GV296" i="1"/>
  <c r="HC296" i="1"/>
  <c r="GX296" i="1" s="1"/>
  <c r="C297" i="1"/>
  <c r="D297" i="1"/>
  <c r="P297" i="1"/>
  <c r="Q297" i="1"/>
  <c r="R297" i="1"/>
  <c r="S297" i="1"/>
  <c r="CP297" i="1" s="1"/>
  <c r="O297" i="1" s="1"/>
  <c r="U297" i="1"/>
  <c r="G977" i="7" s="1"/>
  <c r="V297" i="1"/>
  <c r="AC297" i="1"/>
  <c r="AE297" i="1"/>
  <c r="AD297" i="1" s="1"/>
  <c r="AF297" i="1"/>
  <c r="AG297" i="1"/>
  <c r="AH297" i="1"/>
  <c r="AI297" i="1"/>
  <c r="AJ297" i="1"/>
  <c r="CQ297" i="1"/>
  <c r="CR297" i="1"/>
  <c r="CS297" i="1"/>
  <c r="CT297" i="1"/>
  <c r="CU297" i="1"/>
  <c r="T297" i="1" s="1"/>
  <c r="CV297" i="1"/>
  <c r="CW297" i="1"/>
  <c r="CX297" i="1"/>
  <c r="W297" i="1" s="1"/>
  <c r="CZ297" i="1"/>
  <c r="Y297" i="1" s="1"/>
  <c r="BA984" i="7" s="1"/>
  <c r="L983" i="7" s="1"/>
  <c r="FR297" i="1"/>
  <c r="GL297" i="1"/>
  <c r="GN297" i="1"/>
  <c r="GO297" i="1"/>
  <c r="GV297" i="1"/>
  <c r="HC297" i="1"/>
  <c r="GX297" i="1" s="1"/>
  <c r="C298" i="1"/>
  <c r="D298" i="1"/>
  <c r="P298" i="1"/>
  <c r="Q298" i="1"/>
  <c r="R298" i="1"/>
  <c r="S298" i="1"/>
  <c r="CP298" i="1" s="1"/>
  <c r="O298" i="1" s="1"/>
  <c r="U298" i="1"/>
  <c r="G986" i="7" s="1"/>
  <c r="V298" i="1"/>
  <c r="AI308" i="1" s="1"/>
  <c r="AC298" i="1"/>
  <c r="AE298" i="1"/>
  <c r="AD298" i="1" s="1"/>
  <c r="AF298" i="1"/>
  <c r="AG298" i="1"/>
  <c r="AH298" i="1"/>
  <c r="AI298" i="1"/>
  <c r="AJ298" i="1"/>
  <c r="CQ298" i="1"/>
  <c r="CR298" i="1"/>
  <c r="CS298" i="1"/>
  <c r="CT298" i="1"/>
  <c r="CU298" i="1"/>
  <c r="T298" i="1" s="1"/>
  <c r="CV298" i="1"/>
  <c r="CW298" i="1"/>
  <c r="CX298" i="1"/>
  <c r="W298" i="1" s="1"/>
  <c r="CZ298" i="1"/>
  <c r="Y298" i="1" s="1"/>
  <c r="BA993" i="7" s="1"/>
  <c r="L992" i="7" s="1"/>
  <c r="FR298" i="1"/>
  <c r="GL298" i="1"/>
  <c r="BZ308" i="1" s="1"/>
  <c r="CG308" i="1" s="1"/>
  <c r="GN298" i="1"/>
  <c r="GO298" i="1"/>
  <c r="GV298" i="1"/>
  <c r="HC298" i="1"/>
  <c r="GX298" i="1" s="1"/>
  <c r="C299" i="1"/>
  <c r="D299" i="1"/>
  <c r="P299" i="1"/>
  <c r="Q299" i="1"/>
  <c r="R299" i="1"/>
  <c r="S299" i="1"/>
  <c r="CP299" i="1" s="1"/>
  <c r="O299" i="1" s="1"/>
  <c r="U299" i="1"/>
  <c r="G995" i="7" s="1"/>
  <c r="V299" i="1"/>
  <c r="AC299" i="1"/>
  <c r="AE299" i="1"/>
  <c r="AD299" i="1" s="1"/>
  <c r="AF299" i="1"/>
  <c r="AG299" i="1"/>
  <c r="AH299" i="1"/>
  <c r="AI299" i="1"/>
  <c r="AJ299" i="1"/>
  <c r="CQ299" i="1"/>
  <c r="CR299" i="1"/>
  <c r="CS299" i="1"/>
  <c r="CT299" i="1"/>
  <c r="CU299" i="1"/>
  <c r="T299" i="1" s="1"/>
  <c r="CV299" i="1"/>
  <c r="CW299" i="1"/>
  <c r="CX299" i="1"/>
  <c r="W299" i="1" s="1"/>
  <c r="CZ299" i="1"/>
  <c r="Y299" i="1" s="1"/>
  <c r="BA1002" i="7" s="1"/>
  <c r="L1001" i="7" s="1"/>
  <c r="FR299" i="1"/>
  <c r="GL299" i="1"/>
  <c r="GN299" i="1"/>
  <c r="GO299" i="1"/>
  <c r="GV299" i="1"/>
  <c r="HC299" i="1"/>
  <c r="GX299" i="1" s="1"/>
  <c r="C300" i="1"/>
  <c r="D300" i="1"/>
  <c r="P300" i="1"/>
  <c r="Q300" i="1"/>
  <c r="CP300" i="1" s="1"/>
  <c r="O300" i="1" s="1"/>
  <c r="R300" i="1"/>
  <c r="S300" i="1"/>
  <c r="CY300" i="1" s="1"/>
  <c r="X300" i="1" s="1"/>
  <c r="AZ1011" i="7" s="1"/>
  <c r="L1009" i="7" s="1"/>
  <c r="U300" i="1"/>
  <c r="G1004" i="7" s="1"/>
  <c r="V300" i="1"/>
  <c r="AC300" i="1"/>
  <c r="AE300" i="1"/>
  <c r="AD300" i="1" s="1"/>
  <c r="AF300" i="1"/>
  <c r="AG300" i="1"/>
  <c r="AH300" i="1"/>
  <c r="AI300" i="1"/>
  <c r="AJ300" i="1"/>
  <c r="CQ300" i="1"/>
  <c r="CR300" i="1"/>
  <c r="CS300" i="1"/>
  <c r="CT300" i="1"/>
  <c r="CU300" i="1"/>
  <c r="T300" i="1" s="1"/>
  <c r="CV300" i="1"/>
  <c r="CW300" i="1"/>
  <c r="CX300" i="1"/>
  <c r="W300" i="1" s="1"/>
  <c r="CZ300" i="1"/>
  <c r="Y300" i="1" s="1"/>
  <c r="BA1011" i="7" s="1"/>
  <c r="L1010" i="7" s="1"/>
  <c r="FR300" i="1"/>
  <c r="GL300" i="1"/>
  <c r="GN300" i="1"/>
  <c r="GO300" i="1"/>
  <c r="GV300" i="1"/>
  <c r="HC300" i="1"/>
  <c r="GX300" i="1" s="1"/>
  <c r="C301" i="1"/>
  <c r="D301" i="1"/>
  <c r="P301" i="1"/>
  <c r="Q301" i="1"/>
  <c r="R301" i="1"/>
  <c r="S301" i="1"/>
  <c r="CP301" i="1" s="1"/>
  <c r="O301" i="1" s="1"/>
  <c r="U301" i="1"/>
  <c r="G1013" i="7" s="1"/>
  <c r="V301" i="1"/>
  <c r="AC301" i="1"/>
  <c r="AE301" i="1"/>
  <c r="AD301" i="1" s="1"/>
  <c r="AF301" i="1"/>
  <c r="AG301" i="1"/>
  <c r="AH301" i="1"/>
  <c r="AI301" i="1"/>
  <c r="AJ301" i="1"/>
  <c r="CQ301" i="1"/>
  <c r="CR301" i="1"/>
  <c r="CS301" i="1"/>
  <c r="CT301" i="1"/>
  <c r="CU301" i="1"/>
  <c r="T301" i="1" s="1"/>
  <c r="CV301" i="1"/>
  <c r="CW301" i="1"/>
  <c r="CX301" i="1"/>
  <c r="W301" i="1" s="1"/>
  <c r="CZ301" i="1"/>
  <c r="Y301" i="1" s="1"/>
  <c r="BA1020" i="7" s="1"/>
  <c r="L1019" i="7" s="1"/>
  <c r="FR301" i="1"/>
  <c r="GL301" i="1"/>
  <c r="GN301" i="1"/>
  <c r="GO301" i="1"/>
  <c r="GV301" i="1"/>
  <c r="HC301" i="1"/>
  <c r="GX301" i="1" s="1"/>
  <c r="C302" i="1"/>
  <c r="D302" i="1"/>
  <c r="P302" i="1"/>
  <c r="Q302" i="1"/>
  <c r="R302" i="1"/>
  <c r="S302" i="1"/>
  <c r="CP302" i="1" s="1"/>
  <c r="O302" i="1" s="1"/>
  <c r="U302" i="1"/>
  <c r="G1022" i="7" s="1"/>
  <c r="V302" i="1"/>
  <c r="AC302" i="1"/>
  <c r="AE302" i="1"/>
  <c r="AD302" i="1" s="1"/>
  <c r="AF302" i="1"/>
  <c r="AG302" i="1"/>
  <c r="AH302" i="1"/>
  <c r="AI302" i="1"/>
  <c r="AJ302" i="1"/>
  <c r="CQ302" i="1"/>
  <c r="CR302" i="1"/>
  <c r="CS302" i="1"/>
  <c r="CT302" i="1"/>
  <c r="CU302" i="1"/>
  <c r="T302" i="1" s="1"/>
  <c r="CV302" i="1"/>
  <c r="CW302" i="1"/>
  <c r="CX302" i="1"/>
  <c r="W302" i="1" s="1"/>
  <c r="CZ302" i="1"/>
  <c r="Y302" i="1" s="1"/>
  <c r="BA1029" i="7" s="1"/>
  <c r="L1028" i="7" s="1"/>
  <c r="FR302" i="1"/>
  <c r="GL302" i="1"/>
  <c r="GN302" i="1"/>
  <c r="GO302" i="1"/>
  <c r="GV302" i="1"/>
  <c r="HC302" i="1"/>
  <c r="GX302" i="1" s="1"/>
  <c r="C303" i="1"/>
  <c r="D303" i="1"/>
  <c r="P303" i="1"/>
  <c r="Q303" i="1"/>
  <c r="R303" i="1"/>
  <c r="S303" i="1"/>
  <c r="CP303" i="1" s="1"/>
  <c r="O303" i="1" s="1"/>
  <c r="U303" i="1"/>
  <c r="G1031" i="7" s="1"/>
  <c r="V303" i="1"/>
  <c r="AC303" i="1"/>
  <c r="AE303" i="1"/>
  <c r="AD303" i="1" s="1"/>
  <c r="AF303" i="1"/>
  <c r="AG303" i="1"/>
  <c r="AH303" i="1"/>
  <c r="AI303" i="1"/>
  <c r="AJ303" i="1"/>
  <c r="CQ303" i="1"/>
  <c r="CR303" i="1"/>
  <c r="CS303" i="1"/>
  <c r="CT303" i="1"/>
  <c r="CU303" i="1"/>
  <c r="T303" i="1" s="1"/>
  <c r="CV303" i="1"/>
  <c r="CW303" i="1"/>
  <c r="CX303" i="1"/>
  <c r="W303" i="1" s="1"/>
  <c r="CZ303" i="1"/>
  <c r="Y303" i="1" s="1"/>
  <c r="BA1038" i="7" s="1"/>
  <c r="L1037" i="7" s="1"/>
  <c r="FR303" i="1"/>
  <c r="GL303" i="1"/>
  <c r="GN303" i="1"/>
  <c r="GO303" i="1"/>
  <c r="GV303" i="1"/>
  <c r="HC303" i="1"/>
  <c r="GX303" i="1" s="1"/>
  <c r="C304" i="1"/>
  <c r="D304" i="1"/>
  <c r="P304" i="1"/>
  <c r="Q304" i="1"/>
  <c r="R304" i="1"/>
  <c r="S304" i="1"/>
  <c r="CP304" i="1" s="1"/>
  <c r="O304" i="1" s="1"/>
  <c r="U304" i="1"/>
  <c r="G1040" i="7" s="1"/>
  <c r="V304" i="1"/>
  <c r="AC304" i="1"/>
  <c r="AE304" i="1"/>
  <c r="AD304" i="1" s="1"/>
  <c r="AF304" i="1"/>
  <c r="AG304" i="1"/>
  <c r="AH304" i="1"/>
  <c r="AI304" i="1"/>
  <c r="AJ304" i="1"/>
  <c r="CQ304" i="1"/>
  <c r="CR304" i="1"/>
  <c r="CS304" i="1"/>
  <c r="CT304" i="1"/>
  <c r="CU304" i="1"/>
  <c r="T304" i="1" s="1"/>
  <c r="CV304" i="1"/>
  <c r="CW304" i="1"/>
  <c r="CX304" i="1"/>
  <c r="W304" i="1" s="1"/>
  <c r="CZ304" i="1"/>
  <c r="Y304" i="1" s="1"/>
  <c r="BA1047" i="7" s="1"/>
  <c r="L1046" i="7" s="1"/>
  <c r="FR304" i="1"/>
  <c r="GL304" i="1"/>
  <c r="GN304" i="1"/>
  <c r="GO304" i="1"/>
  <c r="GV304" i="1"/>
  <c r="HC304" i="1"/>
  <c r="GX304" i="1" s="1"/>
  <c r="C305" i="1"/>
  <c r="D305" i="1"/>
  <c r="I305" i="1"/>
  <c r="K305" i="1"/>
  <c r="V305" i="1"/>
  <c r="AC305" i="1"/>
  <c r="AE305" i="1"/>
  <c r="AD305" i="1" s="1"/>
  <c r="AF305" i="1"/>
  <c r="AG305" i="1"/>
  <c r="AH305" i="1"/>
  <c r="AI305" i="1"/>
  <c r="AJ305" i="1"/>
  <c r="CQ305" i="1"/>
  <c r="CR305" i="1"/>
  <c r="CS305" i="1"/>
  <c r="CT305" i="1"/>
  <c r="CU305" i="1"/>
  <c r="T305" i="1" s="1"/>
  <c r="CV305" i="1"/>
  <c r="CW305" i="1"/>
  <c r="CX305" i="1"/>
  <c r="W305" i="1" s="1"/>
  <c r="FR305" i="1"/>
  <c r="GL305" i="1"/>
  <c r="GN305" i="1"/>
  <c r="GO305" i="1"/>
  <c r="GV305" i="1"/>
  <c r="HC305" i="1"/>
  <c r="GX305" i="1" s="1"/>
  <c r="C306" i="1"/>
  <c r="D306" i="1"/>
  <c r="P306" i="1"/>
  <c r="Q306" i="1"/>
  <c r="CP306" i="1" s="1"/>
  <c r="O306" i="1" s="1"/>
  <c r="R306" i="1"/>
  <c r="S306" i="1"/>
  <c r="CY306" i="1" s="1"/>
  <c r="X306" i="1" s="1"/>
  <c r="AZ1066" i="7" s="1"/>
  <c r="L1064" i="7" s="1"/>
  <c r="U306" i="1"/>
  <c r="G1059" i="7" s="1"/>
  <c r="V306" i="1"/>
  <c r="AC306" i="1"/>
  <c r="AE306" i="1"/>
  <c r="AD306" i="1" s="1"/>
  <c r="AF306" i="1"/>
  <c r="AG306" i="1"/>
  <c r="AH306" i="1"/>
  <c r="AI306" i="1"/>
  <c r="AJ306" i="1"/>
  <c r="CQ306" i="1"/>
  <c r="CR306" i="1"/>
  <c r="CS306" i="1"/>
  <c r="CT306" i="1"/>
  <c r="CU306" i="1"/>
  <c r="T306" i="1" s="1"/>
  <c r="CV306" i="1"/>
  <c r="CW306" i="1"/>
  <c r="CX306" i="1"/>
  <c r="W306" i="1" s="1"/>
  <c r="CZ306" i="1"/>
  <c r="Y306" i="1" s="1"/>
  <c r="BA1066" i="7" s="1"/>
  <c r="L1065" i="7" s="1"/>
  <c r="FR306" i="1"/>
  <c r="GL306" i="1"/>
  <c r="GN306" i="1"/>
  <c r="GO306" i="1"/>
  <c r="GV306" i="1"/>
  <c r="HC306" i="1"/>
  <c r="GX306" i="1" s="1"/>
  <c r="B308" i="1"/>
  <c r="B288" i="1" s="1"/>
  <c r="C308" i="1"/>
  <c r="C288" i="1" s="1"/>
  <c r="D308" i="1"/>
  <c r="D288" i="1" s="1"/>
  <c r="F308" i="1"/>
  <c r="F288" i="1" s="1"/>
  <c r="G308" i="1"/>
  <c r="G288" i="1" s="1"/>
  <c r="AG308" i="1"/>
  <c r="AJ308" i="1"/>
  <c r="BX308" i="1"/>
  <c r="BY308" i="1"/>
  <c r="CI308" i="1" s="1"/>
  <c r="CB308" i="1"/>
  <c r="CJ308" i="1"/>
  <c r="CK308" i="1"/>
  <c r="CL308" i="1"/>
  <c r="CM308" i="1"/>
  <c r="B338" i="1"/>
  <c r="B56" i="1" s="1"/>
  <c r="C338" i="1"/>
  <c r="C56" i="1" s="1"/>
  <c r="D338" i="1"/>
  <c r="D56" i="1" s="1"/>
  <c r="F338" i="1"/>
  <c r="F56" i="1" s="1"/>
  <c r="G338" i="1"/>
  <c r="G56" i="1" s="1"/>
  <c r="B371" i="1"/>
  <c r="B18" i="1" s="1"/>
  <c r="C371" i="1"/>
  <c r="C18" i="1" s="1"/>
  <c r="D371" i="1"/>
  <c r="D18" i="1" s="1"/>
  <c r="F371" i="1"/>
  <c r="F18" i="1" s="1"/>
  <c r="G371" i="1"/>
  <c r="G18" i="1" s="1"/>
  <c r="F12" i="6"/>
  <c r="G12" i="6"/>
  <c r="CY12" i="6"/>
  <c r="GM163" i="1" l="1"/>
  <c r="GO163" i="1" s="1"/>
  <c r="GM125" i="1"/>
  <c r="GO125" i="1" s="1"/>
  <c r="GM123" i="1"/>
  <c r="GN123" i="1" s="1"/>
  <c r="GM69" i="1"/>
  <c r="GN69" i="1" s="1"/>
  <c r="CY304" i="1"/>
  <c r="X304" i="1" s="1"/>
  <c r="AZ1047" i="7" s="1"/>
  <c r="L1045" i="7" s="1"/>
  <c r="CY303" i="1"/>
  <c r="X303" i="1" s="1"/>
  <c r="AZ1038" i="7" s="1"/>
  <c r="L1036" i="7" s="1"/>
  <c r="CY302" i="1"/>
  <c r="X302" i="1" s="1"/>
  <c r="AZ1029" i="7" s="1"/>
  <c r="L1027" i="7" s="1"/>
  <c r="CY301" i="1"/>
  <c r="X301" i="1" s="1"/>
  <c r="AZ1020" i="7" s="1"/>
  <c r="L1018" i="7" s="1"/>
  <c r="K1020" i="7" s="1"/>
  <c r="CY299" i="1"/>
  <c r="X299" i="1" s="1"/>
  <c r="AZ1002" i="7" s="1"/>
  <c r="L1000" i="7" s="1"/>
  <c r="CY298" i="1"/>
  <c r="X298" i="1" s="1"/>
  <c r="AZ993" i="7" s="1"/>
  <c r="L991" i="7" s="1"/>
  <c r="CY297" i="1"/>
  <c r="X297" i="1" s="1"/>
  <c r="AZ984" i="7" s="1"/>
  <c r="L982" i="7" s="1"/>
  <c r="CY296" i="1"/>
  <c r="X296" i="1" s="1"/>
  <c r="AZ975" i="7" s="1"/>
  <c r="L973" i="7" s="1"/>
  <c r="K975" i="7" s="1"/>
  <c r="CY295" i="1"/>
  <c r="X295" i="1" s="1"/>
  <c r="AZ966" i="7" s="1"/>
  <c r="L964" i="7" s="1"/>
  <c r="CY294" i="1"/>
  <c r="X294" i="1" s="1"/>
  <c r="AZ956" i="7" s="1"/>
  <c r="L954" i="7" s="1"/>
  <c r="CY293" i="1"/>
  <c r="X293" i="1" s="1"/>
  <c r="AZ946" i="7" s="1"/>
  <c r="L944" i="7" s="1"/>
  <c r="CY292" i="1"/>
  <c r="X292" i="1" s="1"/>
  <c r="AZ937" i="7" s="1"/>
  <c r="L935" i="7" s="1"/>
  <c r="K937" i="7" s="1"/>
  <c r="CY291" i="1"/>
  <c r="X291" i="1" s="1"/>
  <c r="AZ928" i="7" s="1"/>
  <c r="L926" i="7" s="1"/>
  <c r="CY290" i="1"/>
  <c r="X290" i="1" s="1"/>
  <c r="AZ919" i="7" s="1"/>
  <c r="CY75" i="1"/>
  <c r="X75" i="1" s="1"/>
  <c r="AZ259" i="7" s="1"/>
  <c r="GM165" i="1"/>
  <c r="GN165" i="1" s="1"/>
  <c r="CB174" i="1" s="1"/>
  <c r="AS174" i="1" s="1"/>
  <c r="GM64" i="1"/>
  <c r="GN64" i="1" s="1"/>
  <c r="GM304" i="1"/>
  <c r="GP304" i="1" s="1"/>
  <c r="GM303" i="1"/>
  <c r="GP303" i="1" s="1"/>
  <c r="GM302" i="1"/>
  <c r="GP302" i="1" s="1"/>
  <c r="GM300" i="1"/>
  <c r="GP300" i="1" s="1"/>
  <c r="GM299" i="1"/>
  <c r="GP299" i="1" s="1"/>
  <c r="GM297" i="1"/>
  <c r="GP297" i="1" s="1"/>
  <c r="GM296" i="1"/>
  <c r="GP296" i="1" s="1"/>
  <c r="GM295" i="1"/>
  <c r="GP295" i="1" s="1"/>
  <c r="GM294" i="1"/>
  <c r="GP294" i="1" s="1"/>
  <c r="GM293" i="1"/>
  <c r="GP293" i="1" s="1"/>
  <c r="GM292" i="1"/>
  <c r="GP292" i="1" s="1"/>
  <c r="GM291" i="1"/>
  <c r="GP291" i="1" s="1"/>
  <c r="GM290" i="1"/>
  <c r="GP290" i="1" s="1"/>
  <c r="GM75" i="1"/>
  <c r="GN75" i="1" s="1"/>
  <c r="GM306" i="1"/>
  <c r="GP306" i="1" s="1"/>
  <c r="GM164" i="1"/>
  <c r="GO164" i="1" s="1"/>
  <c r="GM124" i="1"/>
  <c r="GN124" i="1" s="1"/>
  <c r="GM122" i="1"/>
  <c r="GO122" i="1" s="1"/>
  <c r="GM121" i="1"/>
  <c r="GO121" i="1" s="1"/>
  <c r="GM67" i="1"/>
  <c r="GN67" i="1" s="1"/>
  <c r="GM298" i="1"/>
  <c r="GP298" i="1" s="1"/>
  <c r="GM168" i="1"/>
  <c r="GO168" i="1" s="1"/>
  <c r="GM167" i="1"/>
  <c r="GN167" i="1" s="1"/>
  <c r="L166" i="7"/>
  <c r="L167" i="7"/>
  <c r="L182" i="7"/>
  <c r="L183" i="7"/>
  <c r="L257" i="7"/>
  <c r="L258" i="7"/>
  <c r="AR76" i="7"/>
  <c r="AT76" i="7"/>
  <c r="L62" i="7"/>
  <c r="AR98" i="7"/>
  <c r="AT98" i="7"/>
  <c r="L84" i="7"/>
  <c r="AR133" i="7"/>
  <c r="AT133" i="7"/>
  <c r="L103" i="7"/>
  <c r="AR142" i="7"/>
  <c r="L139" i="7" s="1"/>
  <c r="L138" i="7"/>
  <c r="AR152" i="7"/>
  <c r="L149" i="7" s="1"/>
  <c r="L148" i="7"/>
  <c r="AR168" i="7"/>
  <c r="AT168" i="7"/>
  <c r="L156" i="7"/>
  <c r="AW164" i="7"/>
  <c r="AN164" i="7"/>
  <c r="AR184" i="7"/>
  <c r="AT184" i="7"/>
  <c r="L172" i="7"/>
  <c r="AW180" i="7"/>
  <c r="AN180" i="7"/>
  <c r="AR204" i="7"/>
  <c r="AT204" i="7"/>
  <c r="L189" i="7"/>
  <c r="AW200" i="7"/>
  <c r="AN200" i="7"/>
  <c r="AR224" i="7"/>
  <c r="AT224" i="7"/>
  <c r="L209" i="7"/>
  <c r="AW220" i="7"/>
  <c r="AN220" i="7"/>
  <c r="AR259" i="7"/>
  <c r="AT259" i="7"/>
  <c r="L228" i="7"/>
  <c r="AW255" i="7"/>
  <c r="AN255" i="7"/>
  <c r="AR275" i="7"/>
  <c r="AT275" i="7"/>
  <c r="L264" i="7"/>
  <c r="AR294" i="7"/>
  <c r="AT294" i="7"/>
  <c r="L280" i="7"/>
  <c r="AR314" i="7"/>
  <c r="AT314" i="7"/>
  <c r="L299" i="7"/>
  <c r="AR334" i="7"/>
  <c r="AT334" i="7"/>
  <c r="L319" i="7"/>
  <c r="AR347" i="7"/>
  <c r="AT347" i="7"/>
  <c r="L339" i="7"/>
  <c r="AR359" i="7"/>
  <c r="L356" i="7" s="1"/>
  <c r="L355" i="7"/>
  <c r="AR372" i="7"/>
  <c r="AT372" i="7"/>
  <c r="L364" i="7"/>
  <c r="AR428" i="7"/>
  <c r="AT428" i="7"/>
  <c r="L412" i="7"/>
  <c r="L562" i="7"/>
  <c r="L560" i="7" s="1"/>
  <c r="L426" i="7"/>
  <c r="L427" i="7"/>
  <c r="AR446" i="7"/>
  <c r="AT446" i="7"/>
  <c r="L433" i="7"/>
  <c r="AR468" i="7"/>
  <c r="AT468" i="7"/>
  <c r="L451" i="7"/>
  <c r="AR491" i="7"/>
  <c r="AT491" i="7"/>
  <c r="L476" i="7"/>
  <c r="AR508" i="7"/>
  <c r="AT508" i="7"/>
  <c r="L496" i="7"/>
  <c r="AR528" i="7"/>
  <c r="AT528" i="7"/>
  <c r="L514" i="7"/>
  <c r="AR549" i="7"/>
  <c r="AT549" i="7"/>
  <c r="L534" i="7"/>
  <c r="AR602" i="7"/>
  <c r="AT602" i="7"/>
  <c r="L586" i="7"/>
  <c r="L600" i="7"/>
  <c r="L601" i="7"/>
  <c r="AR619" i="7"/>
  <c r="AT619" i="7"/>
  <c r="L606" i="7"/>
  <c r="AR640" i="7"/>
  <c r="AT640" i="7"/>
  <c r="L623" i="7"/>
  <c r="AR660" i="7"/>
  <c r="AT660" i="7"/>
  <c r="L645" i="7"/>
  <c r="AR682" i="7"/>
  <c r="AT682" i="7"/>
  <c r="L667" i="7"/>
  <c r="AR698" i="7"/>
  <c r="AT698" i="7"/>
  <c r="L686" i="7"/>
  <c r="AR724" i="7"/>
  <c r="AT724" i="7"/>
  <c r="L703" i="7"/>
  <c r="AR743" i="7"/>
  <c r="AT743" i="7"/>
  <c r="L729" i="7"/>
  <c r="AR763" i="7"/>
  <c r="AT763" i="7"/>
  <c r="L748" i="7"/>
  <c r="AR783" i="7"/>
  <c r="AT783" i="7"/>
  <c r="L768" i="7"/>
  <c r="AW819" i="7"/>
  <c r="AN819" i="7"/>
  <c r="K819" i="7"/>
  <c r="I819" i="7" s="1"/>
  <c r="L854" i="7"/>
  <c r="L842" i="7"/>
  <c r="AW821" i="7"/>
  <c r="AN821" i="7"/>
  <c r="K821" i="7"/>
  <c r="I821" i="7" s="1"/>
  <c r="AW823" i="7"/>
  <c r="AN823" i="7"/>
  <c r="K823" i="7"/>
  <c r="I823" i="7" s="1"/>
  <c r="AW826" i="7"/>
  <c r="AN826" i="7"/>
  <c r="K826" i="7"/>
  <c r="I826" i="7" s="1"/>
  <c r="AW829" i="7"/>
  <c r="AN829" i="7"/>
  <c r="K829" i="7"/>
  <c r="I829" i="7" s="1"/>
  <c r="AW831" i="7"/>
  <c r="AN831" i="7"/>
  <c r="K831" i="7"/>
  <c r="I831" i="7" s="1"/>
  <c r="AW833" i="7"/>
  <c r="AN833" i="7"/>
  <c r="K833" i="7"/>
  <c r="I833" i="7" s="1"/>
  <c r="AW835" i="7"/>
  <c r="AN835" i="7"/>
  <c r="K835" i="7"/>
  <c r="I835" i="7" s="1"/>
  <c r="AW838" i="7"/>
  <c r="AN838" i="7"/>
  <c r="K838" i="7"/>
  <c r="I838" i="7" s="1"/>
  <c r="AW873" i="7"/>
  <c r="AX873" i="7"/>
  <c r="AN873" i="7"/>
  <c r="K873" i="7"/>
  <c r="I873" i="7" s="1"/>
  <c r="L893" i="7"/>
  <c r="L881" i="7"/>
  <c r="AW875" i="7"/>
  <c r="AX875" i="7"/>
  <c r="AN875" i="7"/>
  <c r="K875" i="7"/>
  <c r="I875" i="7" s="1"/>
  <c r="AW877" i="7"/>
  <c r="AX877" i="7"/>
  <c r="AN877" i="7"/>
  <c r="K877" i="7"/>
  <c r="I877" i="7" s="1"/>
  <c r="AR919" i="7"/>
  <c r="L915" i="7"/>
  <c r="L917" i="7"/>
  <c r="L918" i="7"/>
  <c r="L1157" i="7"/>
  <c r="L1073" i="7"/>
  <c r="L1159" i="7"/>
  <c r="L1075" i="7"/>
  <c r="L1163" i="7"/>
  <c r="L1161" i="7" s="1"/>
  <c r="L1079" i="7"/>
  <c r="L1077" i="7" s="1"/>
  <c r="AR928" i="7"/>
  <c r="L925" i="7" s="1"/>
  <c r="AN928" i="7"/>
  <c r="K928" i="7"/>
  <c r="L924" i="7"/>
  <c r="AR937" i="7"/>
  <c r="L934" i="7" s="1"/>
  <c r="AN937" i="7"/>
  <c r="L933" i="7"/>
  <c r="AR946" i="7"/>
  <c r="L943" i="7" s="1"/>
  <c r="AN946" i="7"/>
  <c r="K946" i="7"/>
  <c r="L942" i="7"/>
  <c r="AR956" i="7"/>
  <c r="L953" i="7" s="1"/>
  <c r="AN956" i="7"/>
  <c r="K956" i="7"/>
  <c r="L952" i="7"/>
  <c r="AR966" i="7"/>
  <c r="L963" i="7" s="1"/>
  <c r="AN966" i="7"/>
  <c r="K966" i="7"/>
  <c r="L962" i="7"/>
  <c r="AR975" i="7"/>
  <c r="L972" i="7" s="1"/>
  <c r="AN975" i="7"/>
  <c r="L971" i="7"/>
  <c r="AR984" i="7"/>
  <c r="L981" i="7" s="1"/>
  <c r="AN984" i="7"/>
  <c r="K984" i="7"/>
  <c r="L980" i="7"/>
  <c r="AR993" i="7"/>
  <c r="L990" i="7" s="1"/>
  <c r="AN993" i="7"/>
  <c r="K993" i="7"/>
  <c r="L989" i="7"/>
  <c r="AR1002" i="7"/>
  <c r="L999" i="7" s="1"/>
  <c r="AN1002" i="7"/>
  <c r="K1002" i="7"/>
  <c r="L998" i="7"/>
  <c r="AR1011" i="7"/>
  <c r="L1008" i="7" s="1"/>
  <c r="AN1011" i="7"/>
  <c r="K1011" i="7"/>
  <c r="L1007" i="7"/>
  <c r="AR1020" i="7"/>
  <c r="L1017" i="7" s="1"/>
  <c r="AN1020" i="7"/>
  <c r="L1016" i="7"/>
  <c r="AR1029" i="7"/>
  <c r="L1026" i="7" s="1"/>
  <c r="AN1029" i="7"/>
  <c r="K1029" i="7"/>
  <c r="L1025" i="7"/>
  <c r="AR1038" i="7"/>
  <c r="L1035" i="7" s="1"/>
  <c r="AN1038" i="7"/>
  <c r="K1038" i="7"/>
  <c r="L1034" i="7"/>
  <c r="AR1047" i="7"/>
  <c r="L1044" i="7" s="1"/>
  <c r="AN1047" i="7"/>
  <c r="K1047" i="7"/>
  <c r="L1043" i="7"/>
  <c r="AR1057" i="7"/>
  <c r="L1054" i="7" s="1"/>
  <c r="L1053" i="7"/>
  <c r="AR1066" i="7"/>
  <c r="L1063" i="7" s="1"/>
  <c r="AN1066" i="7"/>
  <c r="K1066" i="7"/>
  <c r="L1062" i="7"/>
  <c r="CM288" i="1"/>
  <c r="BD308" i="1"/>
  <c r="CL288" i="1"/>
  <c r="BC308" i="1"/>
  <c r="CK288" i="1"/>
  <c r="BB308" i="1"/>
  <c r="CJ288" i="1"/>
  <c r="BA308" i="1"/>
  <c r="CI288" i="1"/>
  <c r="AZ308" i="1"/>
  <c r="CG288" i="1"/>
  <c r="AX308" i="1"/>
  <c r="CC288" i="1"/>
  <c r="AT308" i="1"/>
  <c r="CB288" i="1"/>
  <c r="AS308" i="1"/>
  <c r="BZ288" i="1"/>
  <c r="AQ308" i="1"/>
  <c r="BY288" i="1"/>
  <c r="AP308" i="1"/>
  <c r="BX288" i="1"/>
  <c r="AO308" i="1"/>
  <c r="AJ288" i="1"/>
  <c r="W308" i="1"/>
  <c r="AI288" i="1"/>
  <c r="V308" i="1"/>
  <c r="AG288" i="1"/>
  <c r="T308" i="1"/>
  <c r="AB306" i="1"/>
  <c r="AB305" i="1"/>
  <c r="CU322" i="3"/>
  <c r="CV322" i="3"/>
  <c r="CX322" i="3"/>
  <c r="CU323" i="3"/>
  <c r="CV323" i="3"/>
  <c r="CX323" i="3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CM250" i="1"/>
  <c r="BD256" i="1"/>
  <c r="CL250" i="1"/>
  <c r="BC256" i="1"/>
  <c r="CK250" i="1"/>
  <c r="BB256" i="1"/>
  <c r="CJ250" i="1"/>
  <c r="BA256" i="1"/>
  <c r="CI250" i="1"/>
  <c r="AZ256" i="1"/>
  <c r="CH250" i="1"/>
  <c r="AY256" i="1"/>
  <c r="CG250" i="1"/>
  <c r="AX256" i="1"/>
  <c r="CF250" i="1"/>
  <c r="AW256" i="1"/>
  <c r="CE250" i="1"/>
  <c r="AV256" i="1"/>
  <c r="CD250" i="1"/>
  <c r="AU256" i="1"/>
  <c r="CC250" i="1"/>
  <c r="AT256" i="1"/>
  <c r="BZ250" i="1"/>
  <c r="AQ256" i="1"/>
  <c r="BY250" i="1"/>
  <c r="AP256" i="1"/>
  <c r="BX250" i="1"/>
  <c r="AO256" i="1"/>
  <c r="AL250" i="1"/>
  <c r="Y256" i="1"/>
  <c r="AK250" i="1"/>
  <c r="X256" i="1"/>
  <c r="AJ250" i="1"/>
  <c r="W256" i="1"/>
  <c r="AI250" i="1"/>
  <c r="V256" i="1"/>
  <c r="AH250" i="1"/>
  <c r="U256" i="1"/>
  <c r="AG250" i="1"/>
  <c r="T256" i="1"/>
  <c r="AF250" i="1"/>
  <c r="S256" i="1"/>
  <c r="AE250" i="1"/>
  <c r="R256" i="1"/>
  <c r="AD250" i="1"/>
  <c r="Q256" i="1"/>
  <c r="AC250" i="1"/>
  <c r="P256" i="1"/>
  <c r="CP254" i="1"/>
  <c r="O254" i="1" s="1"/>
  <c r="GM254" i="1" s="1"/>
  <c r="GN254" i="1" s="1"/>
  <c r="AB254" i="1"/>
  <c r="CP253" i="1"/>
  <c r="O253" i="1" s="1"/>
  <c r="GM253" i="1" s="1"/>
  <c r="GN253" i="1" s="1"/>
  <c r="AB253" i="1"/>
  <c r="CP252" i="1"/>
  <c r="O252" i="1" s="1"/>
  <c r="AB252" i="1"/>
  <c r="CM206" i="1"/>
  <c r="BD218" i="1"/>
  <c r="CL206" i="1"/>
  <c r="BC218" i="1"/>
  <c r="CK206" i="1"/>
  <c r="BB218" i="1"/>
  <c r="CJ206" i="1"/>
  <c r="BA218" i="1"/>
  <c r="CI206" i="1"/>
  <c r="AZ218" i="1"/>
  <c r="CH206" i="1"/>
  <c r="AY218" i="1"/>
  <c r="CG206" i="1"/>
  <c r="AX218" i="1"/>
  <c r="CF206" i="1"/>
  <c r="AW218" i="1"/>
  <c r="CE206" i="1"/>
  <c r="AV218" i="1"/>
  <c r="CD206" i="1"/>
  <c r="AU218" i="1"/>
  <c r="BZ206" i="1"/>
  <c r="AQ218" i="1"/>
  <c r="BY206" i="1"/>
  <c r="AP218" i="1"/>
  <c r="BX206" i="1"/>
  <c r="AO218" i="1"/>
  <c r="AL206" i="1"/>
  <c r="Y218" i="1"/>
  <c r="AK206" i="1"/>
  <c r="X218" i="1"/>
  <c r="AJ206" i="1"/>
  <c r="W218" i="1"/>
  <c r="AI206" i="1"/>
  <c r="V218" i="1"/>
  <c r="AH206" i="1"/>
  <c r="U218" i="1"/>
  <c r="AG206" i="1"/>
  <c r="T218" i="1"/>
  <c r="AF206" i="1"/>
  <c r="S218" i="1"/>
  <c r="AE206" i="1"/>
  <c r="R218" i="1"/>
  <c r="AD206" i="1"/>
  <c r="Q218" i="1"/>
  <c r="AC206" i="1"/>
  <c r="P218" i="1"/>
  <c r="CP216" i="1"/>
  <c r="O216" i="1" s="1"/>
  <c r="GM216" i="1" s="1"/>
  <c r="GN216" i="1" s="1"/>
  <c r="AB216" i="1"/>
  <c r="CP215" i="1"/>
  <c r="O215" i="1" s="1"/>
  <c r="GM215" i="1" s="1"/>
  <c r="GN215" i="1" s="1"/>
  <c r="AB215" i="1"/>
  <c r="CP214" i="1"/>
  <c r="O214" i="1" s="1"/>
  <c r="GM214" i="1" s="1"/>
  <c r="GN214" i="1" s="1"/>
  <c r="AB214" i="1"/>
  <c r="CP213" i="1"/>
  <c r="O213" i="1" s="1"/>
  <c r="GM213" i="1" s="1"/>
  <c r="GN213" i="1" s="1"/>
  <c r="AB213" i="1"/>
  <c r="CP212" i="1"/>
  <c r="O212" i="1" s="1"/>
  <c r="GM212" i="1" s="1"/>
  <c r="GO212" i="1" s="1"/>
  <c r="AB212" i="1"/>
  <c r="CP211" i="1"/>
  <c r="O211" i="1" s="1"/>
  <c r="GM211" i="1" s="1"/>
  <c r="GO211" i="1" s="1"/>
  <c r="AB211" i="1"/>
  <c r="CP210" i="1"/>
  <c r="O210" i="1" s="1"/>
  <c r="GM210" i="1" s="1"/>
  <c r="GN210" i="1" s="1"/>
  <c r="CB218" i="1" s="1"/>
  <c r="AB210" i="1"/>
  <c r="CP209" i="1"/>
  <c r="O209" i="1" s="1"/>
  <c r="GM209" i="1" s="1"/>
  <c r="GO209" i="1" s="1"/>
  <c r="AB209" i="1"/>
  <c r="CP208" i="1"/>
  <c r="O208" i="1" s="1"/>
  <c r="AB208" i="1"/>
  <c r="CM161" i="1"/>
  <c r="BD174" i="1"/>
  <c r="CL161" i="1"/>
  <c r="BC174" i="1"/>
  <c r="CK161" i="1"/>
  <c r="BB174" i="1"/>
  <c r="CJ161" i="1"/>
  <c r="BA174" i="1"/>
  <c r="CI161" i="1"/>
  <c r="AZ174" i="1"/>
  <c r="CG161" i="1"/>
  <c r="AX174" i="1"/>
  <c r="CD161" i="1"/>
  <c r="AU174" i="1"/>
  <c r="CB161" i="1"/>
  <c r="BZ161" i="1"/>
  <c r="AQ174" i="1"/>
  <c r="BY161" i="1"/>
  <c r="AP174" i="1"/>
  <c r="BX161" i="1"/>
  <c r="AO174" i="1"/>
  <c r="AJ161" i="1"/>
  <c r="W174" i="1"/>
  <c r="AG161" i="1"/>
  <c r="T174" i="1"/>
  <c r="AB172" i="1"/>
  <c r="CU282" i="3"/>
  <c r="CV282" i="3"/>
  <c r="U172" i="1" s="1"/>
  <c r="G766" i="7" s="1"/>
  <c r="CX282" i="3"/>
  <c r="CX283" i="3"/>
  <c r="CW284" i="3"/>
  <c r="CX284" i="3"/>
  <c r="CW285" i="3"/>
  <c r="CX285" i="3"/>
  <c r="CW286" i="3"/>
  <c r="CX286" i="3"/>
  <c r="CX287" i="3"/>
  <c r="CX288" i="3"/>
  <c r="CX289" i="3"/>
  <c r="AB171" i="1"/>
  <c r="CU273" i="3"/>
  <c r="CV273" i="3"/>
  <c r="U171" i="1" s="1"/>
  <c r="G746" i="7" s="1"/>
  <c r="CX273" i="3"/>
  <c r="CX274" i="3"/>
  <c r="CW275" i="3"/>
  <c r="CX275" i="3"/>
  <c r="CW276" i="3"/>
  <c r="CX276" i="3"/>
  <c r="CW277" i="3"/>
  <c r="CX277" i="3"/>
  <c r="CX278" i="3"/>
  <c r="CX279" i="3"/>
  <c r="CX280" i="3"/>
  <c r="CX281" i="3"/>
  <c r="AB170" i="1"/>
  <c r="CU266" i="3"/>
  <c r="CV266" i="3"/>
  <c r="U170" i="1" s="1"/>
  <c r="G727" i="7" s="1"/>
  <c r="CX266" i="3"/>
  <c r="CX267" i="3"/>
  <c r="CW268" i="3"/>
  <c r="CX268" i="3"/>
  <c r="CW269" i="3"/>
  <c r="CX269" i="3"/>
  <c r="CW270" i="3"/>
  <c r="CX270" i="3"/>
  <c r="CX271" i="3"/>
  <c r="CX272" i="3"/>
  <c r="AB169" i="1"/>
  <c r="CU252" i="3"/>
  <c r="CV252" i="3"/>
  <c r="U169" i="1" s="1"/>
  <c r="G701" i="7" s="1"/>
  <c r="CX252" i="3"/>
  <c r="CX253" i="3"/>
  <c r="CW254" i="3"/>
  <c r="CX254" i="3"/>
  <c r="CW255" i="3"/>
  <c r="CX255" i="3"/>
  <c r="CW256" i="3"/>
  <c r="CX256" i="3"/>
  <c r="CW257" i="3"/>
  <c r="CX257" i="3"/>
  <c r="CX258" i="3"/>
  <c r="CX259" i="3"/>
  <c r="CX260" i="3"/>
  <c r="CX261" i="3"/>
  <c r="CX262" i="3"/>
  <c r="CX263" i="3"/>
  <c r="CX264" i="3"/>
  <c r="CX265" i="3"/>
  <c r="AB168" i="1"/>
  <c r="AB167" i="1"/>
  <c r="AB166" i="1"/>
  <c r="CU228" i="3"/>
  <c r="CV228" i="3"/>
  <c r="U166" i="1" s="1"/>
  <c r="CX228" i="3"/>
  <c r="CX229" i="3"/>
  <c r="CW230" i="3"/>
  <c r="CX230" i="3"/>
  <c r="CW231" i="3"/>
  <c r="CX231" i="3"/>
  <c r="CW232" i="3"/>
  <c r="CX232" i="3"/>
  <c r="CX233" i="3"/>
  <c r="CX234" i="3"/>
  <c r="CX235" i="3"/>
  <c r="CX236" i="3"/>
  <c r="AB165" i="1"/>
  <c r="AB164" i="1"/>
  <c r="AB163" i="1"/>
  <c r="CM119" i="1"/>
  <c r="BD129" i="1"/>
  <c r="CL119" i="1"/>
  <c r="BC129" i="1"/>
  <c r="CK119" i="1"/>
  <c r="BB129" i="1"/>
  <c r="CJ119" i="1"/>
  <c r="BA129" i="1"/>
  <c r="CI119" i="1"/>
  <c r="AZ129" i="1"/>
  <c r="CG119" i="1"/>
  <c r="AX129" i="1"/>
  <c r="CD119" i="1"/>
  <c r="AU129" i="1"/>
  <c r="BZ119" i="1"/>
  <c r="AQ129" i="1"/>
  <c r="BY119" i="1"/>
  <c r="AP129" i="1"/>
  <c r="BX119" i="1"/>
  <c r="AO129" i="1"/>
  <c r="AJ119" i="1"/>
  <c r="W129" i="1"/>
  <c r="AG119" i="1"/>
  <c r="T129" i="1"/>
  <c r="AB127" i="1"/>
  <c r="CU189" i="3"/>
  <c r="CV189" i="3"/>
  <c r="U127" i="1" s="1"/>
  <c r="G532" i="7" s="1"/>
  <c r="CX189" i="3"/>
  <c r="CX190" i="3"/>
  <c r="CW191" i="3"/>
  <c r="CX191" i="3"/>
  <c r="CW192" i="3"/>
  <c r="CX192" i="3"/>
  <c r="CW193" i="3"/>
  <c r="CX193" i="3"/>
  <c r="CX194" i="3"/>
  <c r="CX195" i="3"/>
  <c r="CX196" i="3"/>
  <c r="CX197" i="3"/>
  <c r="AB126" i="1"/>
  <c r="CU182" i="3"/>
  <c r="CV182" i="3"/>
  <c r="U126" i="1" s="1"/>
  <c r="CX182" i="3"/>
  <c r="CX183" i="3"/>
  <c r="CW184" i="3"/>
  <c r="CX184" i="3"/>
  <c r="CW185" i="3"/>
  <c r="CX185" i="3"/>
  <c r="CW186" i="3"/>
  <c r="CX186" i="3"/>
  <c r="CX187" i="3"/>
  <c r="CX188" i="3"/>
  <c r="AB125" i="1"/>
  <c r="AB124" i="1"/>
  <c r="AB123" i="1"/>
  <c r="AB122" i="1"/>
  <c r="AB121" i="1"/>
  <c r="CM60" i="1"/>
  <c r="BD87" i="1"/>
  <c r="CL60" i="1"/>
  <c r="BC87" i="1"/>
  <c r="CK60" i="1"/>
  <c r="BB87" i="1"/>
  <c r="CJ60" i="1"/>
  <c r="BA87" i="1"/>
  <c r="CI60" i="1"/>
  <c r="AZ87" i="1"/>
  <c r="CG60" i="1"/>
  <c r="AX87" i="1"/>
  <c r="CD60" i="1"/>
  <c r="AU87" i="1"/>
  <c r="CC60" i="1"/>
  <c r="AT87" i="1"/>
  <c r="BZ60" i="1"/>
  <c r="AQ87" i="1"/>
  <c r="BY60" i="1"/>
  <c r="AP87" i="1"/>
  <c r="BX60" i="1"/>
  <c r="AO87" i="1"/>
  <c r="AJ60" i="1"/>
  <c r="W87" i="1"/>
  <c r="AG60" i="1"/>
  <c r="T87" i="1"/>
  <c r="AB85" i="1"/>
  <c r="AB84" i="1"/>
  <c r="CU132" i="3"/>
  <c r="CV132" i="3"/>
  <c r="U84" i="1" s="1"/>
  <c r="G362" i="7" s="1"/>
  <c r="CX132" i="3"/>
  <c r="CX133" i="3"/>
  <c r="CW134" i="3"/>
  <c r="V84" i="1" s="1"/>
  <c r="G365" i="7" s="1"/>
  <c r="CX134" i="3"/>
  <c r="AB83" i="1"/>
  <c r="CU130" i="3"/>
  <c r="CV130" i="3"/>
  <c r="U83" i="1" s="1"/>
  <c r="G352" i="7" s="1"/>
  <c r="CX130" i="3"/>
  <c r="CX131" i="3"/>
  <c r="AB82" i="1"/>
  <c r="AB81" i="1"/>
  <c r="CU127" i="3"/>
  <c r="CV127" i="3"/>
  <c r="U81" i="1" s="1"/>
  <c r="G337" i="7" s="1"/>
  <c r="CX127" i="3"/>
  <c r="CX128" i="3"/>
  <c r="CW129" i="3"/>
  <c r="V81" i="1" s="1"/>
  <c r="G340" i="7" s="1"/>
  <c r="CX129" i="3"/>
  <c r="AB80" i="1"/>
  <c r="CU119" i="3"/>
  <c r="CV119" i="3"/>
  <c r="U80" i="1" s="1"/>
  <c r="G317" i="7" s="1"/>
  <c r="CX119" i="3"/>
  <c r="CX120" i="3"/>
  <c r="CW121" i="3"/>
  <c r="CX121" i="3"/>
  <c r="CW122" i="3"/>
  <c r="CX122" i="3"/>
  <c r="CW123" i="3"/>
  <c r="CX123" i="3"/>
  <c r="CW124" i="3"/>
  <c r="CX124" i="3"/>
  <c r="CX125" i="3"/>
  <c r="CX126" i="3"/>
  <c r="AB79" i="1"/>
  <c r="CU111" i="3"/>
  <c r="CV111" i="3"/>
  <c r="U79" i="1" s="1"/>
  <c r="G297" i="7" s="1"/>
  <c r="CX111" i="3"/>
  <c r="CX112" i="3"/>
  <c r="CW113" i="3"/>
  <c r="CX113" i="3"/>
  <c r="CW114" i="3"/>
  <c r="CX114" i="3"/>
  <c r="CW115" i="3"/>
  <c r="CX115" i="3"/>
  <c r="CW116" i="3"/>
  <c r="CX116" i="3"/>
  <c r="CX117" i="3"/>
  <c r="CX118" i="3"/>
  <c r="AB78" i="1"/>
  <c r="CU104" i="3"/>
  <c r="CV104" i="3"/>
  <c r="U78" i="1" s="1"/>
  <c r="G278" i="7" s="1"/>
  <c r="CX104" i="3"/>
  <c r="CX105" i="3"/>
  <c r="CW106" i="3"/>
  <c r="CX106" i="3"/>
  <c r="CW107" i="3"/>
  <c r="CX107" i="3"/>
  <c r="CW108" i="3"/>
  <c r="CX108" i="3"/>
  <c r="CX109" i="3"/>
  <c r="CX110" i="3"/>
  <c r="AB77" i="1"/>
  <c r="CU96" i="3"/>
  <c r="CV96" i="3"/>
  <c r="U77" i="1" s="1"/>
  <c r="G262" i="7" s="1"/>
  <c r="CX96" i="3"/>
  <c r="CX97" i="3"/>
  <c r="CW98" i="3"/>
  <c r="CX98" i="3"/>
  <c r="CW99" i="3"/>
  <c r="CX99" i="3"/>
  <c r="CX100" i="3"/>
  <c r="CX101" i="3"/>
  <c r="CX102" i="3"/>
  <c r="CX103" i="3"/>
  <c r="CP76" i="1"/>
  <c r="O76" i="1" s="1"/>
  <c r="GM76" i="1" s="1"/>
  <c r="GN76" i="1" s="1"/>
  <c r="AB76" i="1"/>
  <c r="AB75" i="1"/>
  <c r="CP74" i="1"/>
  <c r="O74" i="1" s="1"/>
  <c r="GM74" i="1" s="1"/>
  <c r="GN74" i="1" s="1"/>
  <c r="AB74" i="1"/>
  <c r="AB73" i="1"/>
  <c r="CU64" i="3"/>
  <c r="CV64" i="3"/>
  <c r="U73" i="1" s="1"/>
  <c r="G207" i="7" s="1"/>
  <c r="CX64" i="3"/>
  <c r="CX65" i="3"/>
  <c r="CW66" i="3"/>
  <c r="CX66" i="3"/>
  <c r="CW67" i="3"/>
  <c r="CX67" i="3"/>
  <c r="CW68" i="3"/>
  <c r="CX68" i="3"/>
  <c r="CX69" i="3"/>
  <c r="CX70" i="3"/>
  <c r="CX71" i="3"/>
  <c r="CX72" i="3"/>
  <c r="CP72" i="1"/>
  <c r="O72" i="1" s="1"/>
  <c r="GM72" i="1" s="1"/>
  <c r="GN72" i="1" s="1"/>
  <c r="AB72" i="1"/>
  <c r="AB71" i="1"/>
  <c r="CU55" i="3"/>
  <c r="CV55" i="3"/>
  <c r="U71" i="1" s="1"/>
  <c r="G187" i="7" s="1"/>
  <c r="CX55" i="3"/>
  <c r="CX56" i="3"/>
  <c r="CW57" i="3"/>
  <c r="CX57" i="3"/>
  <c r="CW58" i="3"/>
  <c r="CX58" i="3"/>
  <c r="CW59" i="3"/>
  <c r="CX59" i="3"/>
  <c r="CX60" i="3"/>
  <c r="CX61" i="3"/>
  <c r="CX62" i="3"/>
  <c r="CX63" i="3"/>
  <c r="CP70" i="1"/>
  <c r="O70" i="1" s="1"/>
  <c r="GM70" i="1" s="1"/>
  <c r="GN70" i="1" s="1"/>
  <c r="AB70" i="1"/>
  <c r="AB69" i="1"/>
  <c r="CP68" i="1"/>
  <c r="O68" i="1" s="1"/>
  <c r="GM68" i="1" s="1"/>
  <c r="GN68" i="1" s="1"/>
  <c r="AB68" i="1"/>
  <c r="AB67" i="1"/>
  <c r="AB66" i="1"/>
  <c r="CU40" i="3"/>
  <c r="CV40" i="3"/>
  <c r="U66" i="1" s="1"/>
  <c r="G146" i="7" s="1"/>
  <c r="CX40" i="3"/>
  <c r="AB65" i="1"/>
  <c r="CU39" i="3"/>
  <c r="CV39" i="3"/>
  <c r="U65" i="1" s="1"/>
  <c r="G136" i="7" s="1"/>
  <c r="CX39" i="3"/>
  <c r="AB64" i="1"/>
  <c r="AB63" i="1"/>
  <c r="CU9" i="3"/>
  <c r="CV9" i="3"/>
  <c r="U63" i="1" s="1"/>
  <c r="G82" i="7" s="1"/>
  <c r="CX9" i="3"/>
  <c r="CX10" i="3"/>
  <c r="CW11" i="3"/>
  <c r="CX11" i="3"/>
  <c r="CW12" i="3"/>
  <c r="CX12" i="3"/>
  <c r="CW13" i="3"/>
  <c r="CX13" i="3"/>
  <c r="CX14" i="3"/>
  <c r="CX15" i="3"/>
  <c r="CX16" i="3"/>
  <c r="AB62" i="1"/>
  <c r="CU1" i="3"/>
  <c r="CV1" i="3"/>
  <c r="U62" i="1" s="1"/>
  <c r="CX1" i="3"/>
  <c r="CX2" i="3"/>
  <c r="CW3" i="3"/>
  <c r="CX3" i="3"/>
  <c r="CW4" i="3"/>
  <c r="CX4" i="3"/>
  <c r="CW5" i="3"/>
  <c r="CX5" i="3"/>
  <c r="CX6" i="3"/>
  <c r="CX7" i="3"/>
  <c r="CX8" i="3"/>
  <c r="CB129" i="1" l="1"/>
  <c r="GM301" i="1"/>
  <c r="GP301" i="1" s="1"/>
  <c r="AH87" i="1"/>
  <c r="G60" i="7"/>
  <c r="AH129" i="1"/>
  <c r="G512" i="7"/>
  <c r="AH174" i="1"/>
  <c r="G643" i="7"/>
  <c r="BU1066" i="7"/>
  <c r="BV1066" i="7" s="1"/>
  <c r="BR1066" i="7"/>
  <c r="I1066" i="7"/>
  <c r="BU1047" i="7"/>
  <c r="BV1047" i="7" s="1"/>
  <c r="BR1047" i="7"/>
  <c r="I1047" i="7"/>
  <c r="BU1038" i="7"/>
  <c r="BV1038" i="7" s="1"/>
  <c r="BR1038" i="7"/>
  <c r="I1038" i="7"/>
  <c r="BU1029" i="7"/>
  <c r="BV1029" i="7" s="1"/>
  <c r="BR1029" i="7"/>
  <c r="I1029" i="7"/>
  <c r="BU1020" i="7"/>
  <c r="BV1020" i="7" s="1"/>
  <c r="BR1020" i="7"/>
  <c r="I1020" i="7"/>
  <c r="BU1011" i="7"/>
  <c r="BV1011" i="7" s="1"/>
  <c r="BR1011" i="7"/>
  <c r="I1011" i="7"/>
  <c r="BU1002" i="7"/>
  <c r="BV1002" i="7" s="1"/>
  <c r="BR1002" i="7"/>
  <c r="I1002" i="7"/>
  <c r="BU993" i="7"/>
  <c r="BV993" i="7" s="1"/>
  <c r="BR993" i="7"/>
  <c r="I993" i="7"/>
  <c r="BU984" i="7"/>
  <c r="BV984" i="7" s="1"/>
  <c r="BR984" i="7"/>
  <c r="I984" i="7"/>
  <c r="BU975" i="7"/>
  <c r="BV975" i="7" s="1"/>
  <c r="BR975" i="7"/>
  <c r="I975" i="7"/>
  <c r="BU966" i="7"/>
  <c r="BV966" i="7" s="1"/>
  <c r="BR966" i="7"/>
  <c r="I966" i="7"/>
  <c r="BU956" i="7"/>
  <c r="BV956" i="7" s="1"/>
  <c r="BR956" i="7"/>
  <c r="I956" i="7"/>
  <c r="BU946" i="7"/>
  <c r="BV946" i="7" s="1"/>
  <c r="BR946" i="7"/>
  <c r="I946" i="7"/>
  <c r="BU937" i="7"/>
  <c r="BV937" i="7" s="1"/>
  <c r="BR937" i="7"/>
  <c r="I937" i="7"/>
  <c r="BU928" i="7"/>
  <c r="BV928" i="7" s="1"/>
  <c r="BR928" i="7"/>
  <c r="I928" i="7"/>
  <c r="L1071" i="7"/>
  <c r="L1155" i="7"/>
  <c r="AN919" i="7"/>
  <c r="K919" i="7"/>
  <c r="L1166" i="7"/>
  <c r="L1154" i="7"/>
  <c r="L1152" i="7" s="1"/>
  <c r="L1082" i="7"/>
  <c r="L1070" i="7"/>
  <c r="L1068" i="7" s="1"/>
  <c r="L916" i="7"/>
  <c r="L1195" i="7"/>
  <c r="L904" i="7"/>
  <c r="L890" i="7"/>
  <c r="L888" i="7" s="1"/>
  <c r="L879" i="7" s="1"/>
  <c r="L902" i="7" s="1"/>
  <c r="L851" i="7"/>
  <c r="L849" i="7" s="1"/>
  <c r="L840" i="7" s="1"/>
  <c r="L863" i="7" s="1"/>
  <c r="L1134" i="7"/>
  <c r="L1132" i="7" s="1"/>
  <c r="AO783" i="7"/>
  <c r="L779" i="7"/>
  <c r="L780" i="7"/>
  <c r="AO763" i="7"/>
  <c r="L759" i="7"/>
  <c r="L760" i="7"/>
  <c r="AO743" i="7"/>
  <c r="L739" i="7"/>
  <c r="L740" i="7"/>
  <c r="AO724" i="7"/>
  <c r="L720" i="7"/>
  <c r="L721" i="7"/>
  <c r="AO698" i="7"/>
  <c r="AN698" i="7"/>
  <c r="K698" i="7"/>
  <c r="I698" i="7" s="1"/>
  <c r="L694" i="7"/>
  <c r="L695" i="7"/>
  <c r="AO682" i="7"/>
  <c r="AN682" i="7"/>
  <c r="K682" i="7"/>
  <c r="I682" i="7" s="1"/>
  <c r="L678" i="7"/>
  <c r="L679" i="7"/>
  <c r="AO660" i="7"/>
  <c r="L656" i="7"/>
  <c r="L657" i="7"/>
  <c r="AO640" i="7"/>
  <c r="AN640" i="7"/>
  <c r="K640" i="7"/>
  <c r="I640" i="7" s="1"/>
  <c r="L636" i="7"/>
  <c r="L637" i="7"/>
  <c r="AO619" i="7"/>
  <c r="AN619" i="7"/>
  <c r="K619" i="7"/>
  <c r="I619" i="7" s="1"/>
  <c r="L615" i="7"/>
  <c r="L616" i="7"/>
  <c r="AO602" i="7"/>
  <c r="L790" i="7" s="1"/>
  <c r="AN602" i="7"/>
  <c r="K602" i="7"/>
  <c r="I602" i="7" s="1"/>
  <c r="L598" i="7"/>
  <c r="L792" i="7"/>
  <c r="L799" i="7"/>
  <c r="L787" i="7"/>
  <c r="L599" i="7"/>
  <c r="AO549" i="7"/>
  <c r="L545" i="7"/>
  <c r="L546" i="7"/>
  <c r="AO528" i="7"/>
  <c r="L524" i="7"/>
  <c r="L525" i="7"/>
  <c r="AO508" i="7"/>
  <c r="AN508" i="7"/>
  <c r="K508" i="7"/>
  <c r="I508" i="7" s="1"/>
  <c r="L504" i="7"/>
  <c r="L505" i="7"/>
  <c r="AO491" i="7"/>
  <c r="AN491" i="7"/>
  <c r="K491" i="7"/>
  <c r="I491" i="7" s="1"/>
  <c r="L487" i="7"/>
  <c r="L488" i="7"/>
  <c r="AO468" i="7"/>
  <c r="AN468" i="7"/>
  <c r="K468" i="7"/>
  <c r="I468" i="7" s="1"/>
  <c r="L464" i="7"/>
  <c r="L465" i="7"/>
  <c r="AO446" i="7"/>
  <c r="AN446" i="7"/>
  <c r="K446" i="7"/>
  <c r="I446" i="7" s="1"/>
  <c r="L442" i="7"/>
  <c r="L443" i="7"/>
  <c r="AO428" i="7"/>
  <c r="AN428" i="7"/>
  <c r="K428" i="7"/>
  <c r="I428" i="7" s="1"/>
  <c r="L424" i="7"/>
  <c r="L1130" i="7"/>
  <c r="L558" i="7"/>
  <c r="L1137" i="7"/>
  <c r="L1125" i="7"/>
  <c r="L565" i="7"/>
  <c r="L553" i="7"/>
  <c r="L425" i="7"/>
  <c r="AO372" i="7"/>
  <c r="L368" i="7"/>
  <c r="L369" i="7"/>
  <c r="AO347" i="7"/>
  <c r="L343" i="7"/>
  <c r="L344" i="7"/>
  <c r="AO334" i="7"/>
  <c r="L330" i="7"/>
  <c r="L331" i="7"/>
  <c r="AO314" i="7"/>
  <c r="L310" i="7"/>
  <c r="L311" i="7"/>
  <c r="AO294" i="7"/>
  <c r="L290" i="7"/>
  <c r="L291" i="7"/>
  <c r="AO275" i="7"/>
  <c r="L271" i="7"/>
  <c r="L272" i="7"/>
  <c r="AO259" i="7"/>
  <c r="AN259" i="7"/>
  <c r="K259" i="7"/>
  <c r="I259" i="7" s="1"/>
  <c r="L254" i="7"/>
  <c r="L256" i="7"/>
  <c r="AO224" i="7"/>
  <c r="L219" i="7"/>
  <c r="L221" i="7"/>
  <c r="AO204" i="7"/>
  <c r="L199" i="7"/>
  <c r="L201" i="7"/>
  <c r="AO184" i="7"/>
  <c r="AN184" i="7"/>
  <c r="K184" i="7"/>
  <c r="I184" i="7" s="1"/>
  <c r="L179" i="7"/>
  <c r="L181" i="7"/>
  <c r="L1183" i="7"/>
  <c r="L1181" i="7" s="1"/>
  <c r="L1114" i="7"/>
  <c r="L1112" i="7" s="1"/>
  <c r="L387" i="7"/>
  <c r="L385" i="7" s="1"/>
  <c r="AO168" i="7"/>
  <c r="AN168" i="7"/>
  <c r="K168" i="7"/>
  <c r="I168" i="7" s="1"/>
  <c r="L163" i="7"/>
  <c r="L165" i="7"/>
  <c r="AO133" i="7"/>
  <c r="AN133" i="7"/>
  <c r="K133" i="7"/>
  <c r="I133" i="7" s="1"/>
  <c r="L129" i="7"/>
  <c r="L130" i="7"/>
  <c r="AO98" i="7"/>
  <c r="L94" i="7"/>
  <c r="L95" i="7"/>
  <c r="AO76" i="7"/>
  <c r="L72" i="7"/>
  <c r="K41" i="7"/>
  <c r="L1179" i="7"/>
  <c r="L1110" i="7"/>
  <c r="L383" i="7"/>
  <c r="K40" i="7"/>
  <c r="L1186" i="7"/>
  <c r="L1174" i="7"/>
  <c r="L1117" i="7"/>
  <c r="L1105" i="7"/>
  <c r="L390" i="7"/>
  <c r="L378" i="7"/>
  <c r="L73" i="7"/>
  <c r="DF8" i="3"/>
  <c r="DJ8" i="3" s="1"/>
  <c r="DG8" i="3"/>
  <c r="DH8" i="3"/>
  <c r="DI8" i="3"/>
  <c r="DF7" i="3"/>
  <c r="DJ7" i="3" s="1"/>
  <c r="DG7" i="3"/>
  <c r="DH7" i="3"/>
  <c r="DI7" i="3"/>
  <c r="DF6" i="3"/>
  <c r="DJ6" i="3" s="1"/>
  <c r="DG6" i="3"/>
  <c r="DH6" i="3"/>
  <c r="DI6" i="3"/>
  <c r="DF5" i="3"/>
  <c r="DG5" i="3"/>
  <c r="DH5" i="3"/>
  <c r="DI5" i="3"/>
  <c r="DF4" i="3"/>
  <c r="DG4" i="3"/>
  <c r="DH4" i="3"/>
  <c r="DI4" i="3"/>
  <c r="DF3" i="3"/>
  <c r="DG3" i="3"/>
  <c r="DH3" i="3"/>
  <c r="DI3" i="3"/>
  <c r="V62" i="1"/>
  <c r="G63" i="7" s="1"/>
  <c r="DF2" i="3"/>
  <c r="DG2" i="3"/>
  <c r="DH2" i="3"/>
  <c r="DI2" i="3"/>
  <c r="DJ2" i="3" s="1"/>
  <c r="DF1" i="3"/>
  <c r="P62" i="1" s="1"/>
  <c r="DG1" i="3"/>
  <c r="Q62" i="1" s="1"/>
  <c r="DH1" i="3"/>
  <c r="R62" i="1" s="1"/>
  <c r="DI1" i="3"/>
  <c r="AH60" i="1"/>
  <c r="U87" i="1"/>
  <c r="DF16" i="3"/>
  <c r="DJ16" i="3" s="1"/>
  <c r="DG16" i="3"/>
  <c r="DH16" i="3"/>
  <c r="DI16" i="3"/>
  <c r="DF15" i="3"/>
  <c r="DJ15" i="3" s="1"/>
  <c r="DG15" i="3"/>
  <c r="DH15" i="3"/>
  <c r="DI15" i="3"/>
  <c r="DF14" i="3"/>
  <c r="DJ14" i="3" s="1"/>
  <c r="DG14" i="3"/>
  <c r="DH14" i="3"/>
  <c r="DI14" i="3"/>
  <c r="DF13" i="3"/>
  <c r="DG13" i="3"/>
  <c r="DH13" i="3"/>
  <c r="DI13" i="3"/>
  <c r="DF12" i="3"/>
  <c r="DG12" i="3"/>
  <c r="DH12" i="3"/>
  <c r="DI12" i="3"/>
  <c r="DF11" i="3"/>
  <c r="DG11" i="3"/>
  <c r="DH11" i="3"/>
  <c r="DI11" i="3"/>
  <c r="V63" i="1"/>
  <c r="G85" i="7" s="1"/>
  <c r="DF10" i="3"/>
  <c r="DG10" i="3"/>
  <c r="DH10" i="3"/>
  <c r="DI10" i="3"/>
  <c r="DJ10" i="3" s="1"/>
  <c r="DF9" i="3"/>
  <c r="P63" i="1" s="1"/>
  <c r="DG9" i="3"/>
  <c r="Q63" i="1" s="1"/>
  <c r="DH9" i="3"/>
  <c r="R63" i="1" s="1"/>
  <c r="DI9" i="3"/>
  <c r="DF39" i="3"/>
  <c r="P65" i="1" s="1"/>
  <c r="DG39" i="3"/>
  <c r="Q65" i="1" s="1"/>
  <c r="DH39" i="3"/>
  <c r="R65" i="1" s="1"/>
  <c r="DI39" i="3"/>
  <c r="DF40" i="3"/>
  <c r="P66" i="1" s="1"/>
  <c r="DG40" i="3"/>
  <c r="Q66" i="1" s="1"/>
  <c r="DH40" i="3"/>
  <c r="R66" i="1" s="1"/>
  <c r="DI40" i="3"/>
  <c r="DF63" i="3"/>
  <c r="DJ63" i="3" s="1"/>
  <c r="DG63" i="3"/>
  <c r="DH63" i="3"/>
  <c r="DI63" i="3"/>
  <c r="DF62" i="3"/>
  <c r="DJ62" i="3" s="1"/>
  <c r="DG62" i="3"/>
  <c r="DH62" i="3"/>
  <c r="DI62" i="3"/>
  <c r="DF61" i="3"/>
  <c r="DJ61" i="3" s="1"/>
  <c r="DG61" i="3"/>
  <c r="DH61" i="3"/>
  <c r="DI61" i="3"/>
  <c r="DF60" i="3"/>
  <c r="DJ60" i="3" s="1"/>
  <c r="DG60" i="3"/>
  <c r="DH60" i="3"/>
  <c r="DI60" i="3"/>
  <c r="DF59" i="3"/>
  <c r="DG59" i="3"/>
  <c r="DH59" i="3"/>
  <c r="DI59" i="3"/>
  <c r="DF58" i="3"/>
  <c r="DG58" i="3"/>
  <c r="DH58" i="3"/>
  <c r="DI58" i="3"/>
  <c r="DF57" i="3"/>
  <c r="DG57" i="3"/>
  <c r="DH57" i="3"/>
  <c r="DI57" i="3"/>
  <c r="V71" i="1"/>
  <c r="G190" i="7" s="1"/>
  <c r="DF56" i="3"/>
  <c r="DG56" i="3"/>
  <c r="DH56" i="3"/>
  <c r="DI56" i="3"/>
  <c r="DJ56" i="3" s="1"/>
  <c r="DF55" i="3"/>
  <c r="P71" i="1" s="1"/>
  <c r="DG55" i="3"/>
  <c r="Q71" i="1" s="1"/>
  <c r="DH55" i="3"/>
  <c r="R71" i="1" s="1"/>
  <c r="DI55" i="3"/>
  <c r="DF72" i="3"/>
  <c r="DJ72" i="3" s="1"/>
  <c r="DG72" i="3"/>
  <c r="DH72" i="3"/>
  <c r="DI72" i="3"/>
  <c r="DF71" i="3"/>
  <c r="DJ71" i="3" s="1"/>
  <c r="DG71" i="3"/>
  <c r="DH71" i="3"/>
  <c r="DI71" i="3"/>
  <c r="DF70" i="3"/>
  <c r="DJ70" i="3" s="1"/>
  <c r="DG70" i="3"/>
  <c r="DH70" i="3"/>
  <c r="DI70" i="3"/>
  <c r="DF69" i="3"/>
  <c r="DJ69" i="3" s="1"/>
  <c r="DG69" i="3"/>
  <c r="DH69" i="3"/>
  <c r="DI69" i="3"/>
  <c r="DF68" i="3"/>
  <c r="DG68" i="3"/>
  <c r="DH68" i="3"/>
  <c r="DI68" i="3"/>
  <c r="DF67" i="3"/>
  <c r="DG67" i="3"/>
  <c r="DH67" i="3"/>
  <c r="DI67" i="3"/>
  <c r="DF66" i="3"/>
  <c r="DG66" i="3"/>
  <c r="DH66" i="3"/>
  <c r="DI66" i="3"/>
  <c r="V73" i="1"/>
  <c r="G210" i="7" s="1"/>
  <c r="DF65" i="3"/>
  <c r="DG65" i="3"/>
  <c r="DH65" i="3"/>
  <c r="DI65" i="3"/>
  <c r="DJ65" i="3" s="1"/>
  <c r="DF64" i="3"/>
  <c r="P73" i="1" s="1"/>
  <c r="DG64" i="3"/>
  <c r="Q73" i="1" s="1"/>
  <c r="DH64" i="3"/>
  <c r="R73" i="1" s="1"/>
  <c r="DI64" i="3"/>
  <c r="DF103" i="3"/>
  <c r="DJ103" i="3" s="1"/>
  <c r="DG103" i="3"/>
  <c r="DH103" i="3"/>
  <c r="DI103" i="3"/>
  <c r="DF102" i="3"/>
  <c r="DJ102" i="3" s="1"/>
  <c r="DG102" i="3"/>
  <c r="DH102" i="3"/>
  <c r="DI102" i="3"/>
  <c r="DF101" i="3"/>
  <c r="DJ101" i="3" s="1"/>
  <c r="DG101" i="3"/>
  <c r="DH101" i="3"/>
  <c r="DI101" i="3"/>
  <c r="DF100" i="3"/>
  <c r="DJ100" i="3" s="1"/>
  <c r="DG100" i="3"/>
  <c r="DH100" i="3"/>
  <c r="DI100" i="3"/>
  <c r="DF99" i="3"/>
  <c r="DG99" i="3"/>
  <c r="DH99" i="3"/>
  <c r="DI99" i="3"/>
  <c r="DF98" i="3"/>
  <c r="DG98" i="3"/>
  <c r="DH98" i="3"/>
  <c r="DI98" i="3"/>
  <c r="V77" i="1"/>
  <c r="G265" i="7" s="1"/>
  <c r="DF97" i="3"/>
  <c r="DG97" i="3"/>
  <c r="DH97" i="3"/>
  <c r="DI97" i="3"/>
  <c r="DJ97" i="3" s="1"/>
  <c r="DF96" i="3"/>
  <c r="P77" i="1" s="1"/>
  <c r="DG96" i="3"/>
  <c r="Q77" i="1" s="1"/>
  <c r="DH96" i="3"/>
  <c r="R77" i="1" s="1"/>
  <c r="DI96" i="3"/>
  <c r="DF110" i="3"/>
  <c r="DJ110" i="3" s="1"/>
  <c r="DG110" i="3"/>
  <c r="DH110" i="3"/>
  <c r="DI110" i="3"/>
  <c r="DF109" i="3"/>
  <c r="DJ109" i="3" s="1"/>
  <c r="DG109" i="3"/>
  <c r="DH109" i="3"/>
  <c r="DI109" i="3"/>
  <c r="DF108" i="3"/>
  <c r="DG108" i="3"/>
  <c r="DH108" i="3"/>
  <c r="DI108" i="3"/>
  <c r="DF107" i="3"/>
  <c r="DG107" i="3"/>
  <c r="DH107" i="3"/>
  <c r="DI107" i="3"/>
  <c r="DF106" i="3"/>
  <c r="DG106" i="3"/>
  <c r="DH106" i="3"/>
  <c r="DI106" i="3"/>
  <c r="V78" i="1"/>
  <c r="G281" i="7" s="1"/>
  <c r="DF105" i="3"/>
  <c r="DG105" i="3"/>
  <c r="DH105" i="3"/>
  <c r="DI105" i="3"/>
  <c r="DJ105" i="3" s="1"/>
  <c r="DF104" i="3"/>
  <c r="P78" i="1" s="1"/>
  <c r="DG104" i="3"/>
  <c r="Q78" i="1" s="1"/>
  <c r="DH104" i="3"/>
  <c r="R78" i="1" s="1"/>
  <c r="DI104" i="3"/>
  <c r="DF118" i="3"/>
  <c r="DJ118" i="3" s="1"/>
  <c r="DG118" i="3"/>
  <c r="DH118" i="3"/>
  <c r="DI118" i="3"/>
  <c r="DF117" i="3"/>
  <c r="DJ117" i="3" s="1"/>
  <c r="DG117" i="3"/>
  <c r="DH117" i="3"/>
  <c r="DI117" i="3"/>
  <c r="DF116" i="3"/>
  <c r="DG116" i="3"/>
  <c r="DH116" i="3"/>
  <c r="DI116" i="3"/>
  <c r="DF115" i="3"/>
  <c r="DG115" i="3"/>
  <c r="DH115" i="3"/>
  <c r="DI115" i="3"/>
  <c r="DF114" i="3"/>
  <c r="DG114" i="3"/>
  <c r="DH114" i="3"/>
  <c r="DI114" i="3"/>
  <c r="DF113" i="3"/>
  <c r="DG113" i="3"/>
  <c r="DH113" i="3"/>
  <c r="DI113" i="3"/>
  <c r="V79" i="1"/>
  <c r="G300" i="7" s="1"/>
  <c r="DF112" i="3"/>
  <c r="DG112" i="3"/>
  <c r="DH112" i="3"/>
  <c r="DI112" i="3"/>
  <c r="DJ112" i="3" s="1"/>
  <c r="DF111" i="3"/>
  <c r="P79" i="1" s="1"/>
  <c r="DG111" i="3"/>
  <c r="Q79" i="1" s="1"/>
  <c r="DH111" i="3"/>
  <c r="R79" i="1" s="1"/>
  <c r="DI111" i="3"/>
  <c r="DF126" i="3"/>
  <c r="DJ126" i="3" s="1"/>
  <c r="DG126" i="3"/>
  <c r="DH126" i="3"/>
  <c r="DI126" i="3"/>
  <c r="DF125" i="3"/>
  <c r="DJ125" i="3" s="1"/>
  <c r="DG125" i="3"/>
  <c r="DH125" i="3"/>
  <c r="DI125" i="3"/>
  <c r="DF124" i="3"/>
  <c r="DG124" i="3"/>
  <c r="DH124" i="3"/>
  <c r="DI124" i="3"/>
  <c r="DF123" i="3"/>
  <c r="DG123" i="3"/>
  <c r="DH123" i="3"/>
  <c r="DI123" i="3"/>
  <c r="DF122" i="3"/>
  <c r="DG122" i="3"/>
  <c r="DH122" i="3"/>
  <c r="DI122" i="3"/>
  <c r="DF121" i="3"/>
  <c r="DG121" i="3"/>
  <c r="DH121" i="3"/>
  <c r="DI121" i="3"/>
  <c r="V80" i="1"/>
  <c r="G320" i="7" s="1"/>
  <c r="DF120" i="3"/>
  <c r="DG120" i="3"/>
  <c r="DH120" i="3"/>
  <c r="DI120" i="3"/>
  <c r="DJ120" i="3" s="1"/>
  <c r="DF119" i="3"/>
  <c r="P80" i="1" s="1"/>
  <c r="DG119" i="3"/>
  <c r="Q80" i="1" s="1"/>
  <c r="DH119" i="3"/>
  <c r="R80" i="1" s="1"/>
  <c r="DI119" i="3"/>
  <c r="DF129" i="3"/>
  <c r="DG129" i="3"/>
  <c r="DH129" i="3"/>
  <c r="DI129" i="3"/>
  <c r="DF128" i="3"/>
  <c r="DG128" i="3"/>
  <c r="DH128" i="3"/>
  <c r="DI128" i="3"/>
  <c r="DJ128" i="3" s="1"/>
  <c r="DF127" i="3"/>
  <c r="P81" i="1" s="1"/>
  <c r="DG127" i="3"/>
  <c r="Q81" i="1" s="1"/>
  <c r="DH127" i="3"/>
  <c r="R81" i="1" s="1"/>
  <c r="DI127" i="3"/>
  <c r="DF131" i="3"/>
  <c r="DJ131" i="3" s="1"/>
  <c r="DG131" i="3"/>
  <c r="DH131" i="3"/>
  <c r="DI131" i="3"/>
  <c r="DF130" i="3"/>
  <c r="P83" i="1" s="1"/>
  <c r="DG130" i="3"/>
  <c r="Q83" i="1" s="1"/>
  <c r="DH130" i="3"/>
  <c r="R83" i="1" s="1"/>
  <c r="DI130" i="3"/>
  <c r="DF134" i="3"/>
  <c r="DG134" i="3"/>
  <c r="DH134" i="3"/>
  <c r="DI134" i="3"/>
  <c r="DF133" i="3"/>
  <c r="DG133" i="3"/>
  <c r="DH133" i="3"/>
  <c r="DI133" i="3"/>
  <c r="DJ133" i="3" s="1"/>
  <c r="DF132" i="3"/>
  <c r="P84" i="1" s="1"/>
  <c r="DG132" i="3"/>
  <c r="Q84" i="1" s="1"/>
  <c r="DH132" i="3"/>
  <c r="R84" i="1" s="1"/>
  <c r="DI132" i="3"/>
  <c r="T60" i="1"/>
  <c r="F108" i="1"/>
  <c r="T338" i="1"/>
  <c r="W60" i="1"/>
  <c r="F111" i="1"/>
  <c r="W338" i="1"/>
  <c r="AO60" i="1"/>
  <c r="F91" i="1"/>
  <c r="AO338" i="1"/>
  <c r="AP60" i="1"/>
  <c r="F96" i="1"/>
  <c r="AP338" i="1"/>
  <c r="AQ60" i="1"/>
  <c r="F97" i="1"/>
  <c r="AQ338" i="1"/>
  <c r="AT60" i="1"/>
  <c r="F105" i="1"/>
  <c r="AU60" i="1"/>
  <c r="F106" i="1"/>
  <c r="AX60" i="1"/>
  <c r="F94" i="1"/>
  <c r="AX338" i="1"/>
  <c r="AZ60" i="1"/>
  <c r="F98" i="1"/>
  <c r="AZ338" i="1"/>
  <c r="BA60" i="1"/>
  <c r="F107" i="1"/>
  <c r="BA338" i="1"/>
  <c r="BB60" i="1"/>
  <c r="F100" i="1"/>
  <c r="BB338" i="1"/>
  <c r="BC60" i="1"/>
  <c r="F103" i="1"/>
  <c r="BC338" i="1"/>
  <c r="BD60" i="1"/>
  <c r="F112" i="1"/>
  <c r="BD338" i="1"/>
  <c r="DF188" i="3"/>
  <c r="DJ188" i="3" s="1"/>
  <c r="DG188" i="3"/>
  <c r="DH188" i="3"/>
  <c r="DI188" i="3"/>
  <c r="DF187" i="3"/>
  <c r="DJ187" i="3" s="1"/>
  <c r="DG187" i="3"/>
  <c r="DH187" i="3"/>
  <c r="DI187" i="3"/>
  <c r="DF186" i="3"/>
  <c r="DG186" i="3"/>
  <c r="DH186" i="3"/>
  <c r="DI186" i="3"/>
  <c r="DF185" i="3"/>
  <c r="DG185" i="3"/>
  <c r="DH185" i="3"/>
  <c r="DI185" i="3"/>
  <c r="DF184" i="3"/>
  <c r="DG184" i="3"/>
  <c r="DH184" i="3"/>
  <c r="DI184" i="3"/>
  <c r="V126" i="1"/>
  <c r="G515" i="7" s="1"/>
  <c r="DF183" i="3"/>
  <c r="DG183" i="3"/>
  <c r="DH183" i="3"/>
  <c r="DI183" i="3"/>
  <c r="DJ183" i="3" s="1"/>
  <c r="DF182" i="3"/>
  <c r="P126" i="1" s="1"/>
  <c r="DG182" i="3"/>
  <c r="Q126" i="1" s="1"/>
  <c r="DH182" i="3"/>
  <c r="R126" i="1" s="1"/>
  <c r="DI182" i="3"/>
  <c r="AH119" i="1"/>
  <c r="U129" i="1"/>
  <c r="DF197" i="3"/>
  <c r="DJ197" i="3" s="1"/>
  <c r="DG197" i="3"/>
  <c r="DH197" i="3"/>
  <c r="DI197" i="3"/>
  <c r="DF196" i="3"/>
  <c r="DJ196" i="3" s="1"/>
  <c r="DG196" i="3"/>
  <c r="DH196" i="3"/>
  <c r="DI196" i="3"/>
  <c r="DF195" i="3"/>
  <c r="DJ195" i="3" s="1"/>
  <c r="DG195" i="3"/>
  <c r="DH195" i="3"/>
  <c r="DI195" i="3"/>
  <c r="DF194" i="3"/>
  <c r="DJ194" i="3" s="1"/>
  <c r="DG194" i="3"/>
  <c r="DH194" i="3"/>
  <c r="DI194" i="3"/>
  <c r="DF193" i="3"/>
  <c r="DG193" i="3"/>
  <c r="DH193" i="3"/>
  <c r="DI193" i="3"/>
  <c r="DF192" i="3"/>
  <c r="DG192" i="3"/>
  <c r="DH192" i="3"/>
  <c r="DI192" i="3"/>
  <c r="DF191" i="3"/>
  <c r="DG191" i="3"/>
  <c r="DH191" i="3"/>
  <c r="DI191" i="3"/>
  <c r="V127" i="1"/>
  <c r="G535" i="7" s="1"/>
  <c r="DF190" i="3"/>
  <c r="DG190" i="3"/>
  <c r="DH190" i="3"/>
  <c r="DI190" i="3"/>
  <c r="DJ190" i="3" s="1"/>
  <c r="DF189" i="3"/>
  <c r="P127" i="1" s="1"/>
  <c r="DG189" i="3"/>
  <c r="Q127" i="1" s="1"/>
  <c r="DH189" i="3"/>
  <c r="R127" i="1" s="1"/>
  <c r="DI189" i="3"/>
  <c r="T119" i="1"/>
  <c r="F150" i="1"/>
  <c r="W119" i="1"/>
  <c r="F153" i="1"/>
  <c r="AO119" i="1"/>
  <c r="F133" i="1"/>
  <c r="AP119" i="1"/>
  <c r="F138" i="1"/>
  <c r="AQ119" i="1"/>
  <c r="F139" i="1"/>
  <c r="AU119" i="1"/>
  <c r="F148" i="1"/>
  <c r="AX119" i="1"/>
  <c r="F136" i="1"/>
  <c r="AZ119" i="1"/>
  <c r="F140" i="1"/>
  <c r="BA119" i="1"/>
  <c r="F149" i="1"/>
  <c r="BB119" i="1"/>
  <c r="F142" i="1"/>
  <c r="BC119" i="1"/>
  <c r="F145" i="1"/>
  <c r="BD119" i="1"/>
  <c r="F154" i="1"/>
  <c r="DF236" i="3"/>
  <c r="DJ236" i="3" s="1"/>
  <c r="DG236" i="3"/>
  <c r="DH236" i="3"/>
  <c r="DI236" i="3"/>
  <c r="DF235" i="3"/>
  <c r="DJ235" i="3" s="1"/>
  <c r="DG235" i="3"/>
  <c r="DH235" i="3"/>
  <c r="DI235" i="3"/>
  <c r="DF234" i="3"/>
  <c r="DJ234" i="3" s="1"/>
  <c r="DG234" i="3"/>
  <c r="DH234" i="3"/>
  <c r="DI234" i="3"/>
  <c r="DF233" i="3"/>
  <c r="DJ233" i="3" s="1"/>
  <c r="DG233" i="3"/>
  <c r="DH233" i="3"/>
  <c r="DI233" i="3"/>
  <c r="DF232" i="3"/>
  <c r="DG232" i="3"/>
  <c r="DH232" i="3"/>
  <c r="DI232" i="3"/>
  <c r="DF231" i="3"/>
  <c r="DG231" i="3"/>
  <c r="DH231" i="3"/>
  <c r="DI231" i="3"/>
  <c r="DF230" i="3"/>
  <c r="DG230" i="3"/>
  <c r="DH230" i="3"/>
  <c r="DI230" i="3"/>
  <c r="V166" i="1"/>
  <c r="G646" i="7" s="1"/>
  <c r="DF229" i="3"/>
  <c r="DG229" i="3"/>
  <c r="DH229" i="3"/>
  <c r="DI229" i="3"/>
  <c r="DJ229" i="3" s="1"/>
  <c r="DF228" i="3"/>
  <c r="P166" i="1" s="1"/>
  <c r="DG228" i="3"/>
  <c r="Q166" i="1" s="1"/>
  <c r="DH228" i="3"/>
  <c r="R166" i="1" s="1"/>
  <c r="DI228" i="3"/>
  <c r="AH161" i="1"/>
  <c r="U174" i="1"/>
  <c r="DF265" i="3"/>
  <c r="DJ265" i="3" s="1"/>
  <c r="DG265" i="3"/>
  <c r="DH265" i="3"/>
  <c r="DI265" i="3"/>
  <c r="DF264" i="3"/>
  <c r="DJ264" i="3" s="1"/>
  <c r="DG264" i="3"/>
  <c r="DH264" i="3"/>
  <c r="DI264" i="3"/>
  <c r="DF263" i="3"/>
  <c r="DJ263" i="3" s="1"/>
  <c r="DG263" i="3"/>
  <c r="DH263" i="3"/>
  <c r="DI263" i="3"/>
  <c r="DF262" i="3"/>
  <c r="DJ262" i="3" s="1"/>
  <c r="DG262" i="3"/>
  <c r="DH262" i="3"/>
  <c r="DI262" i="3"/>
  <c r="DF261" i="3"/>
  <c r="DJ261" i="3" s="1"/>
  <c r="DG261" i="3"/>
  <c r="DH261" i="3"/>
  <c r="DI261" i="3"/>
  <c r="DF260" i="3"/>
  <c r="DJ260" i="3" s="1"/>
  <c r="DG260" i="3"/>
  <c r="DH260" i="3"/>
  <c r="DI260" i="3"/>
  <c r="DF259" i="3"/>
  <c r="DJ259" i="3" s="1"/>
  <c r="DG259" i="3"/>
  <c r="DH259" i="3"/>
  <c r="DI259" i="3"/>
  <c r="DF258" i="3"/>
  <c r="DJ258" i="3" s="1"/>
  <c r="DG258" i="3"/>
  <c r="DH258" i="3"/>
  <c r="DI258" i="3"/>
  <c r="DF257" i="3"/>
  <c r="DG257" i="3"/>
  <c r="DH257" i="3"/>
  <c r="DI257" i="3"/>
  <c r="DF256" i="3"/>
  <c r="DG256" i="3"/>
  <c r="DH256" i="3"/>
  <c r="DI256" i="3"/>
  <c r="DF255" i="3"/>
  <c r="DG255" i="3"/>
  <c r="DH255" i="3"/>
  <c r="DI255" i="3"/>
  <c r="DF254" i="3"/>
  <c r="DG254" i="3"/>
  <c r="DH254" i="3"/>
  <c r="DI254" i="3"/>
  <c r="V169" i="1"/>
  <c r="G704" i="7" s="1"/>
  <c r="DF253" i="3"/>
  <c r="DG253" i="3"/>
  <c r="DH253" i="3"/>
  <c r="DI253" i="3"/>
  <c r="DJ253" i="3" s="1"/>
  <c r="DF252" i="3"/>
  <c r="P169" i="1" s="1"/>
  <c r="DG252" i="3"/>
  <c r="Q169" i="1" s="1"/>
  <c r="DH252" i="3"/>
  <c r="R169" i="1" s="1"/>
  <c r="DI252" i="3"/>
  <c r="DF272" i="3"/>
  <c r="DJ272" i="3" s="1"/>
  <c r="DG272" i="3"/>
  <c r="DH272" i="3"/>
  <c r="DI272" i="3"/>
  <c r="DF271" i="3"/>
  <c r="DJ271" i="3" s="1"/>
  <c r="DG271" i="3"/>
  <c r="DH271" i="3"/>
  <c r="DI271" i="3"/>
  <c r="DF270" i="3"/>
  <c r="DG270" i="3"/>
  <c r="DH270" i="3"/>
  <c r="DI270" i="3"/>
  <c r="DF269" i="3"/>
  <c r="DG269" i="3"/>
  <c r="DH269" i="3"/>
  <c r="DI269" i="3"/>
  <c r="DF268" i="3"/>
  <c r="DG268" i="3"/>
  <c r="DH268" i="3"/>
  <c r="DI268" i="3"/>
  <c r="V170" i="1"/>
  <c r="G730" i="7" s="1"/>
  <c r="DF267" i="3"/>
  <c r="DG267" i="3"/>
  <c r="DH267" i="3"/>
  <c r="DI267" i="3"/>
  <c r="DJ267" i="3" s="1"/>
  <c r="DF266" i="3"/>
  <c r="P170" i="1" s="1"/>
  <c r="DG266" i="3"/>
  <c r="Q170" i="1" s="1"/>
  <c r="DH266" i="3"/>
  <c r="R170" i="1" s="1"/>
  <c r="DI266" i="3"/>
  <c r="DF281" i="3"/>
  <c r="DJ281" i="3" s="1"/>
  <c r="DG281" i="3"/>
  <c r="DH281" i="3"/>
  <c r="DI281" i="3"/>
  <c r="DF280" i="3"/>
  <c r="DJ280" i="3" s="1"/>
  <c r="DG280" i="3"/>
  <c r="DH280" i="3"/>
  <c r="DI280" i="3"/>
  <c r="DF279" i="3"/>
  <c r="DJ279" i="3" s="1"/>
  <c r="DG279" i="3"/>
  <c r="DH279" i="3"/>
  <c r="DI279" i="3"/>
  <c r="DF278" i="3"/>
  <c r="DJ278" i="3" s="1"/>
  <c r="DG278" i="3"/>
  <c r="DH278" i="3"/>
  <c r="DI278" i="3"/>
  <c r="DF277" i="3"/>
  <c r="DG277" i="3"/>
  <c r="DH277" i="3"/>
  <c r="DI277" i="3"/>
  <c r="DF276" i="3"/>
  <c r="DG276" i="3"/>
  <c r="DH276" i="3"/>
  <c r="DI276" i="3"/>
  <c r="DF275" i="3"/>
  <c r="DG275" i="3"/>
  <c r="DH275" i="3"/>
  <c r="DI275" i="3"/>
  <c r="V171" i="1"/>
  <c r="G749" i="7" s="1"/>
  <c r="DF274" i="3"/>
  <c r="DG274" i="3"/>
  <c r="DH274" i="3"/>
  <c r="DI274" i="3"/>
  <c r="DJ274" i="3" s="1"/>
  <c r="DF273" i="3"/>
  <c r="P171" i="1" s="1"/>
  <c r="DG273" i="3"/>
  <c r="Q171" i="1" s="1"/>
  <c r="DH273" i="3"/>
  <c r="R171" i="1" s="1"/>
  <c r="DI273" i="3"/>
  <c r="DF289" i="3"/>
  <c r="DJ289" i="3" s="1"/>
  <c r="DG289" i="3"/>
  <c r="DH289" i="3"/>
  <c r="DI289" i="3"/>
  <c r="DF288" i="3"/>
  <c r="DJ288" i="3" s="1"/>
  <c r="DG288" i="3"/>
  <c r="DH288" i="3"/>
  <c r="DI288" i="3"/>
  <c r="DF287" i="3"/>
  <c r="DJ287" i="3" s="1"/>
  <c r="DG287" i="3"/>
  <c r="DH287" i="3"/>
  <c r="DI287" i="3"/>
  <c r="DF286" i="3"/>
  <c r="DG286" i="3"/>
  <c r="DH286" i="3"/>
  <c r="DI286" i="3"/>
  <c r="DF285" i="3"/>
  <c r="DG285" i="3"/>
  <c r="DH285" i="3"/>
  <c r="DI285" i="3"/>
  <c r="DF284" i="3"/>
  <c r="DG284" i="3"/>
  <c r="DH284" i="3"/>
  <c r="DI284" i="3"/>
  <c r="V172" i="1"/>
  <c r="G769" i="7" s="1"/>
  <c r="DF283" i="3"/>
  <c r="DG283" i="3"/>
  <c r="DH283" i="3"/>
  <c r="DI283" i="3"/>
  <c r="DJ283" i="3" s="1"/>
  <c r="DF282" i="3"/>
  <c r="P172" i="1" s="1"/>
  <c r="DG282" i="3"/>
  <c r="Q172" i="1" s="1"/>
  <c r="DH282" i="3"/>
  <c r="R172" i="1" s="1"/>
  <c r="DI282" i="3"/>
  <c r="T161" i="1"/>
  <c r="F195" i="1"/>
  <c r="W161" i="1"/>
  <c r="F198" i="1"/>
  <c r="AO161" i="1"/>
  <c r="F178" i="1"/>
  <c r="AP161" i="1"/>
  <c r="F183" i="1"/>
  <c r="AQ161" i="1"/>
  <c r="F184" i="1"/>
  <c r="AS161" i="1"/>
  <c r="F191" i="1"/>
  <c r="AU161" i="1"/>
  <c r="F193" i="1"/>
  <c r="AX161" i="1"/>
  <c r="F181" i="1"/>
  <c r="AZ161" i="1"/>
  <c r="F185" i="1"/>
  <c r="BA161" i="1"/>
  <c r="F194" i="1"/>
  <c r="BB161" i="1"/>
  <c r="F187" i="1"/>
  <c r="BC161" i="1"/>
  <c r="F190" i="1"/>
  <c r="BD161" i="1"/>
  <c r="F199" i="1"/>
  <c r="GM208" i="1"/>
  <c r="AB218" i="1"/>
  <c r="CB206" i="1"/>
  <c r="AS218" i="1"/>
  <c r="P206" i="1"/>
  <c r="F221" i="1"/>
  <c r="Q206" i="1"/>
  <c r="F230" i="1"/>
  <c r="R206" i="1"/>
  <c r="F232" i="1"/>
  <c r="S206" i="1"/>
  <c r="F233" i="1"/>
  <c r="T206" i="1"/>
  <c r="F239" i="1"/>
  <c r="U206" i="1"/>
  <c r="F240" i="1"/>
  <c r="V206" i="1"/>
  <c r="F241" i="1"/>
  <c r="W206" i="1"/>
  <c r="F242" i="1"/>
  <c r="X206" i="1"/>
  <c r="F244" i="1"/>
  <c r="Y206" i="1"/>
  <c r="F245" i="1"/>
  <c r="AO206" i="1"/>
  <c r="F222" i="1"/>
  <c r="AP206" i="1"/>
  <c r="F227" i="1"/>
  <c r="AQ206" i="1"/>
  <c r="F228" i="1"/>
  <c r="AU206" i="1"/>
  <c r="F237" i="1"/>
  <c r="AV206" i="1"/>
  <c r="F223" i="1"/>
  <c r="AW206" i="1"/>
  <c r="F224" i="1"/>
  <c r="AX206" i="1"/>
  <c r="F225" i="1"/>
  <c r="AY206" i="1"/>
  <c r="F226" i="1"/>
  <c r="AZ206" i="1"/>
  <c r="F229" i="1"/>
  <c r="BA206" i="1"/>
  <c r="F238" i="1"/>
  <c r="BB206" i="1"/>
  <c r="F231" i="1"/>
  <c r="BC206" i="1"/>
  <c r="F234" i="1"/>
  <c r="BD206" i="1"/>
  <c r="F243" i="1"/>
  <c r="GM252" i="1"/>
  <c r="AB256" i="1"/>
  <c r="P250" i="1"/>
  <c r="F259" i="1"/>
  <c r="Q250" i="1"/>
  <c r="F268" i="1"/>
  <c r="R250" i="1"/>
  <c r="F270" i="1"/>
  <c r="S250" i="1"/>
  <c r="F271" i="1"/>
  <c r="T250" i="1"/>
  <c r="F277" i="1"/>
  <c r="U250" i="1"/>
  <c r="F278" i="1"/>
  <c r="V250" i="1"/>
  <c r="F279" i="1"/>
  <c r="W250" i="1"/>
  <c r="F280" i="1"/>
  <c r="X250" i="1"/>
  <c r="F282" i="1"/>
  <c r="Y250" i="1"/>
  <c r="F283" i="1"/>
  <c r="AO250" i="1"/>
  <c r="F260" i="1"/>
  <c r="AP250" i="1"/>
  <c r="F265" i="1"/>
  <c r="AQ250" i="1"/>
  <c r="F266" i="1"/>
  <c r="AT250" i="1"/>
  <c r="F274" i="1"/>
  <c r="AU250" i="1"/>
  <c r="F275" i="1"/>
  <c r="AV250" i="1"/>
  <c r="F261" i="1"/>
  <c r="AW250" i="1"/>
  <c r="F262" i="1"/>
  <c r="AX250" i="1"/>
  <c r="F263" i="1"/>
  <c r="AY250" i="1"/>
  <c r="F264" i="1"/>
  <c r="AZ250" i="1"/>
  <c r="F267" i="1"/>
  <c r="BA250" i="1"/>
  <c r="F276" i="1"/>
  <c r="BB250" i="1"/>
  <c r="F269" i="1"/>
  <c r="BC250" i="1"/>
  <c r="F272" i="1"/>
  <c r="BD250" i="1"/>
  <c r="F281" i="1"/>
  <c r="DF323" i="3"/>
  <c r="DG323" i="3"/>
  <c r="DH323" i="3"/>
  <c r="DI323" i="3"/>
  <c r="DJ323" i="3" s="1"/>
  <c r="DF322" i="3"/>
  <c r="P305" i="1" s="1"/>
  <c r="DG322" i="3"/>
  <c r="Q305" i="1" s="1"/>
  <c r="AD308" i="1" s="1"/>
  <c r="DH322" i="3"/>
  <c r="R305" i="1" s="1"/>
  <c r="AE308" i="1" s="1"/>
  <c r="DI322" i="3"/>
  <c r="U305" i="1"/>
  <c r="T288" i="1"/>
  <c r="F329" i="1"/>
  <c r="V288" i="1"/>
  <c r="F331" i="1"/>
  <c r="G1096" i="7" s="1"/>
  <c r="W288" i="1"/>
  <c r="F332" i="1"/>
  <c r="AO288" i="1"/>
  <c r="F312" i="1"/>
  <c r="AP288" i="1"/>
  <c r="F317" i="1"/>
  <c r="AQ288" i="1"/>
  <c r="F318" i="1"/>
  <c r="AS288" i="1"/>
  <c r="F325" i="1"/>
  <c r="AT288" i="1"/>
  <c r="F326" i="1"/>
  <c r="AX288" i="1"/>
  <c r="F315" i="1"/>
  <c r="AZ288" i="1"/>
  <c r="F319" i="1"/>
  <c r="BA288" i="1"/>
  <c r="F328" i="1"/>
  <c r="BB288" i="1"/>
  <c r="F321" i="1"/>
  <c r="BC288" i="1"/>
  <c r="F324" i="1"/>
  <c r="BD288" i="1"/>
  <c r="F333" i="1"/>
  <c r="CB119" i="1" l="1"/>
  <c r="AS129" i="1"/>
  <c r="AH308" i="1"/>
  <c r="AH288" i="1" s="1"/>
  <c r="G1050" i="7"/>
  <c r="L1177" i="7"/>
  <c r="L1175" i="7" s="1"/>
  <c r="L1172" i="7" s="1"/>
  <c r="L1108" i="7"/>
  <c r="L1106" i="7" s="1"/>
  <c r="L1103" i="7" s="1"/>
  <c r="L381" i="7"/>
  <c r="L379" i="7" s="1"/>
  <c r="L376" i="7" s="1"/>
  <c r="L1128" i="7"/>
  <c r="L1126" i="7" s="1"/>
  <c r="L1123" i="7" s="1"/>
  <c r="L556" i="7"/>
  <c r="L554" i="7" s="1"/>
  <c r="L551" i="7" s="1"/>
  <c r="L788" i="7"/>
  <c r="L785" i="7" s="1"/>
  <c r="BU919" i="7"/>
  <c r="BV919" i="7" s="1"/>
  <c r="BR919" i="7"/>
  <c r="I919" i="7"/>
  <c r="U308" i="1"/>
  <c r="DJ322" i="3"/>
  <c r="S305" i="1"/>
  <c r="AE288" i="1"/>
  <c r="R308" i="1"/>
  <c r="AD288" i="1"/>
  <c r="Q308" i="1"/>
  <c r="CP305" i="1"/>
  <c r="O305" i="1" s="1"/>
  <c r="AC308" i="1"/>
  <c r="AB250" i="1"/>
  <c r="O256" i="1"/>
  <c r="GN252" i="1"/>
  <c r="CB256" i="1" s="1"/>
  <c r="CA256" i="1"/>
  <c r="AS206" i="1"/>
  <c r="F235" i="1"/>
  <c r="AB206" i="1"/>
  <c r="O218" i="1"/>
  <c r="GO208" i="1"/>
  <c r="CC218" i="1" s="1"/>
  <c r="CA218" i="1"/>
  <c r="DJ282" i="3"/>
  <c r="S172" i="1"/>
  <c r="CP172" i="1"/>
  <c r="O172" i="1" s="1"/>
  <c r="DJ284" i="3"/>
  <c r="DJ285" i="3"/>
  <c r="DJ286" i="3"/>
  <c r="DJ273" i="3"/>
  <c r="S171" i="1"/>
  <c r="CP171" i="1"/>
  <c r="O171" i="1" s="1"/>
  <c r="DJ275" i="3"/>
  <c r="DJ276" i="3"/>
  <c r="DJ277" i="3"/>
  <c r="DJ266" i="3"/>
  <c r="S170" i="1"/>
  <c r="CP170" i="1"/>
  <c r="O170" i="1" s="1"/>
  <c r="DJ268" i="3"/>
  <c r="DJ269" i="3"/>
  <c r="DJ270" i="3"/>
  <c r="DJ252" i="3"/>
  <c r="S169" i="1"/>
  <c r="CP169" i="1"/>
  <c r="O169" i="1" s="1"/>
  <c r="DJ254" i="3"/>
  <c r="DJ255" i="3"/>
  <c r="DJ256" i="3"/>
  <c r="DJ257" i="3"/>
  <c r="U161" i="1"/>
  <c r="F196" i="1"/>
  <c r="G812" i="7" s="1"/>
  <c r="DJ228" i="3"/>
  <c r="S166" i="1"/>
  <c r="CP166" i="1" s="1"/>
  <c r="O166" i="1" s="1"/>
  <c r="AE174" i="1"/>
  <c r="AD174" i="1"/>
  <c r="AC174" i="1"/>
  <c r="AI174" i="1"/>
  <c r="DJ230" i="3"/>
  <c r="DJ231" i="3"/>
  <c r="DJ232" i="3"/>
  <c r="DJ189" i="3"/>
  <c r="S127" i="1"/>
  <c r="CP127" i="1" s="1"/>
  <c r="O127" i="1" s="1"/>
  <c r="DJ191" i="3"/>
  <c r="DJ192" i="3"/>
  <c r="DJ193" i="3"/>
  <c r="U119" i="1"/>
  <c r="F151" i="1"/>
  <c r="G578" i="7" s="1"/>
  <c r="DJ182" i="3"/>
  <c r="S126" i="1"/>
  <c r="CP126" i="1" s="1"/>
  <c r="O126" i="1" s="1"/>
  <c r="AE129" i="1"/>
  <c r="AD129" i="1"/>
  <c r="AC129" i="1"/>
  <c r="AI129" i="1"/>
  <c r="DJ184" i="3"/>
  <c r="DJ185" i="3"/>
  <c r="DJ186" i="3"/>
  <c r="BD56" i="1"/>
  <c r="F363" i="1"/>
  <c r="BD371" i="1"/>
  <c r="BC56" i="1"/>
  <c r="F354" i="1"/>
  <c r="BC371" i="1"/>
  <c r="BB56" i="1"/>
  <c r="F351" i="1"/>
  <c r="BB371" i="1"/>
  <c r="BA56" i="1"/>
  <c r="F358" i="1"/>
  <c r="BA371" i="1"/>
  <c r="AZ56" i="1"/>
  <c r="F349" i="1"/>
  <c r="AZ371" i="1"/>
  <c r="AX56" i="1"/>
  <c r="F345" i="1"/>
  <c r="AX371" i="1"/>
  <c r="AQ56" i="1"/>
  <c r="F348" i="1"/>
  <c r="AQ371" i="1"/>
  <c r="AP56" i="1"/>
  <c r="F347" i="1"/>
  <c r="AP371" i="1"/>
  <c r="AO56" i="1"/>
  <c r="F342" i="1"/>
  <c r="AO371" i="1"/>
  <c r="W56" i="1"/>
  <c r="F362" i="1"/>
  <c r="W371" i="1"/>
  <c r="T56" i="1"/>
  <c r="F359" i="1"/>
  <c r="T371" i="1"/>
  <c r="DJ132" i="3"/>
  <c r="S84" i="1"/>
  <c r="CP84" i="1"/>
  <c r="O84" i="1" s="1"/>
  <c r="DJ134" i="3"/>
  <c r="DJ130" i="3"/>
  <c r="S83" i="1"/>
  <c r="CP83" i="1"/>
  <c r="O83" i="1" s="1"/>
  <c r="DJ127" i="3"/>
  <c r="S81" i="1"/>
  <c r="CP81" i="1"/>
  <c r="O81" i="1" s="1"/>
  <c r="DJ129" i="3"/>
  <c r="DJ119" i="3"/>
  <c r="S80" i="1"/>
  <c r="CP80" i="1"/>
  <c r="O80" i="1" s="1"/>
  <c r="DJ121" i="3"/>
  <c r="DJ122" i="3"/>
  <c r="DJ123" i="3"/>
  <c r="DJ124" i="3"/>
  <c r="DJ111" i="3"/>
  <c r="S79" i="1"/>
  <c r="CP79" i="1"/>
  <c r="O79" i="1" s="1"/>
  <c r="DJ113" i="3"/>
  <c r="DJ114" i="3"/>
  <c r="DJ115" i="3"/>
  <c r="DJ116" i="3"/>
  <c r="DJ104" i="3"/>
  <c r="S78" i="1"/>
  <c r="CP78" i="1" s="1"/>
  <c r="O78" i="1" s="1"/>
  <c r="DJ106" i="3"/>
  <c r="DJ107" i="3"/>
  <c r="DJ108" i="3"/>
  <c r="DJ96" i="3"/>
  <c r="S77" i="1"/>
  <c r="CP77" i="1"/>
  <c r="O77" i="1" s="1"/>
  <c r="DJ98" i="3"/>
  <c r="DJ99" i="3"/>
  <c r="DJ64" i="3"/>
  <c r="S73" i="1"/>
  <c r="CP73" i="1"/>
  <c r="O73" i="1" s="1"/>
  <c r="DJ66" i="3"/>
  <c r="DJ67" i="3"/>
  <c r="DJ68" i="3"/>
  <c r="DJ55" i="3"/>
  <c r="S71" i="1"/>
  <c r="CP71" i="1"/>
  <c r="O71" i="1" s="1"/>
  <c r="DJ57" i="3"/>
  <c r="DJ58" i="3"/>
  <c r="DJ59" i="3"/>
  <c r="DJ40" i="3"/>
  <c r="S66" i="1"/>
  <c r="CP66" i="1"/>
  <c r="O66" i="1" s="1"/>
  <c r="DJ39" i="3"/>
  <c r="S65" i="1"/>
  <c r="CP65" i="1"/>
  <c r="O65" i="1" s="1"/>
  <c r="DJ9" i="3"/>
  <c r="S63" i="1"/>
  <c r="CP63" i="1"/>
  <c r="O63" i="1" s="1"/>
  <c r="DJ11" i="3"/>
  <c r="DJ12" i="3"/>
  <c r="DJ13" i="3"/>
  <c r="U60" i="1"/>
  <c r="F109" i="1"/>
  <c r="G403" i="7" s="1"/>
  <c r="U338" i="1"/>
  <c r="DJ1" i="3"/>
  <c r="S62" i="1"/>
  <c r="CP62" i="1" s="1"/>
  <c r="O62" i="1" s="1"/>
  <c r="AE87" i="1"/>
  <c r="AD87" i="1"/>
  <c r="AC87" i="1"/>
  <c r="AI87" i="1"/>
  <c r="DJ3" i="3"/>
  <c r="DJ4" i="3"/>
  <c r="DJ5" i="3"/>
  <c r="AS119" i="1" l="1"/>
  <c r="F146" i="1"/>
  <c r="G16" i="2"/>
  <c r="G18" i="2" s="1"/>
  <c r="AI60" i="1"/>
  <c r="V87" i="1"/>
  <c r="AC60" i="1"/>
  <c r="P87" i="1"/>
  <c r="CE87" i="1"/>
  <c r="CF87" i="1"/>
  <c r="CH87" i="1"/>
  <c r="AB87" i="1"/>
  <c r="AD60" i="1"/>
  <c r="Q87" i="1"/>
  <c r="AE60" i="1"/>
  <c r="R87" i="1"/>
  <c r="CY62" i="1"/>
  <c r="X62" i="1" s="1"/>
  <c r="AZ76" i="7" s="1"/>
  <c r="CZ62" i="1"/>
  <c r="Y62" i="1" s="1"/>
  <c r="BA76" i="7" s="1"/>
  <c r="AF87" i="1"/>
  <c r="U56" i="1"/>
  <c r="F360" i="1"/>
  <c r="U371" i="1"/>
  <c r="CY63" i="1"/>
  <c r="X63" i="1" s="1"/>
  <c r="AZ98" i="7" s="1"/>
  <c r="L96" i="7" s="1"/>
  <c r="CZ63" i="1"/>
  <c r="Y63" i="1" s="1"/>
  <c r="BA98" i="7" s="1"/>
  <c r="L97" i="7" s="1"/>
  <c r="CY65" i="1"/>
  <c r="X65" i="1" s="1"/>
  <c r="AZ142" i="7" s="1"/>
  <c r="L140" i="7" s="1"/>
  <c r="CZ65" i="1"/>
  <c r="Y65" i="1" s="1"/>
  <c r="BA142" i="7" s="1"/>
  <c r="L141" i="7" s="1"/>
  <c r="CY66" i="1"/>
  <c r="X66" i="1" s="1"/>
  <c r="AZ152" i="7" s="1"/>
  <c r="L150" i="7" s="1"/>
  <c r="CZ66" i="1"/>
  <c r="Y66" i="1" s="1"/>
  <c r="BA152" i="7" s="1"/>
  <c r="L151" i="7" s="1"/>
  <c r="CY71" i="1"/>
  <c r="X71" i="1" s="1"/>
  <c r="AZ204" i="7" s="1"/>
  <c r="L202" i="7" s="1"/>
  <c r="CZ71" i="1"/>
  <c r="Y71" i="1" s="1"/>
  <c r="BA204" i="7" s="1"/>
  <c r="L203" i="7" s="1"/>
  <c r="CY73" i="1"/>
  <c r="X73" i="1" s="1"/>
  <c r="AZ224" i="7" s="1"/>
  <c r="L222" i="7" s="1"/>
  <c r="CZ73" i="1"/>
  <c r="Y73" i="1" s="1"/>
  <c r="BA224" i="7" s="1"/>
  <c r="L223" i="7" s="1"/>
  <c r="CY77" i="1"/>
  <c r="X77" i="1" s="1"/>
  <c r="AZ275" i="7" s="1"/>
  <c r="L273" i="7" s="1"/>
  <c r="CZ77" i="1"/>
  <c r="Y77" i="1" s="1"/>
  <c r="BA275" i="7" s="1"/>
  <c r="L274" i="7" s="1"/>
  <c r="CY78" i="1"/>
  <c r="X78" i="1" s="1"/>
  <c r="AZ294" i="7" s="1"/>
  <c r="L292" i="7" s="1"/>
  <c r="CZ78" i="1"/>
  <c r="Y78" i="1" s="1"/>
  <c r="BA294" i="7" s="1"/>
  <c r="L293" i="7" s="1"/>
  <c r="CY79" i="1"/>
  <c r="X79" i="1" s="1"/>
  <c r="AZ314" i="7" s="1"/>
  <c r="L312" i="7" s="1"/>
  <c r="CZ79" i="1"/>
  <c r="Y79" i="1" s="1"/>
  <c r="BA314" i="7" s="1"/>
  <c r="L313" i="7" s="1"/>
  <c r="CY80" i="1"/>
  <c r="X80" i="1" s="1"/>
  <c r="AZ334" i="7" s="1"/>
  <c r="L332" i="7" s="1"/>
  <c r="CZ80" i="1"/>
  <c r="Y80" i="1" s="1"/>
  <c r="BA334" i="7" s="1"/>
  <c r="L333" i="7" s="1"/>
  <c r="CY81" i="1"/>
  <c r="X81" i="1" s="1"/>
  <c r="AZ347" i="7" s="1"/>
  <c r="L345" i="7" s="1"/>
  <c r="CZ81" i="1"/>
  <c r="Y81" i="1" s="1"/>
  <c r="BA347" i="7" s="1"/>
  <c r="L346" i="7" s="1"/>
  <c r="CY83" i="1"/>
  <c r="X83" i="1" s="1"/>
  <c r="AZ359" i="7" s="1"/>
  <c r="L357" i="7" s="1"/>
  <c r="CZ83" i="1"/>
  <c r="Y83" i="1" s="1"/>
  <c r="BA359" i="7" s="1"/>
  <c r="L358" i="7" s="1"/>
  <c r="CY84" i="1"/>
  <c r="X84" i="1" s="1"/>
  <c r="AZ372" i="7" s="1"/>
  <c r="L370" i="7" s="1"/>
  <c r="CZ84" i="1"/>
  <c r="Y84" i="1" s="1"/>
  <c r="BA372" i="7" s="1"/>
  <c r="L371" i="7" s="1"/>
  <c r="T18" i="1"/>
  <c r="F392" i="1"/>
  <c r="W18" i="1"/>
  <c r="F395" i="1"/>
  <c r="AO18" i="1"/>
  <c r="F375" i="1"/>
  <c r="AP18" i="1"/>
  <c r="F380" i="1"/>
  <c r="AQ18" i="1"/>
  <c r="F381" i="1"/>
  <c r="AX18" i="1"/>
  <c r="F378" i="1"/>
  <c r="AZ18" i="1"/>
  <c r="F382" i="1"/>
  <c r="BA18" i="1"/>
  <c r="F391" i="1"/>
  <c r="BB18" i="1"/>
  <c r="F384" i="1"/>
  <c r="BC18" i="1"/>
  <c r="F387" i="1"/>
  <c r="BD18" i="1"/>
  <c r="F396" i="1"/>
  <c r="AI119" i="1"/>
  <c r="V129" i="1"/>
  <c r="AC119" i="1"/>
  <c r="P129" i="1"/>
  <c r="CE129" i="1"/>
  <c r="CF129" i="1"/>
  <c r="CH129" i="1"/>
  <c r="AB129" i="1"/>
  <c r="AD119" i="1"/>
  <c r="Q129" i="1"/>
  <c r="AE119" i="1"/>
  <c r="R129" i="1"/>
  <c r="CY126" i="1"/>
  <c r="X126" i="1" s="1"/>
  <c r="AZ528" i="7" s="1"/>
  <c r="CZ126" i="1"/>
  <c r="Y126" i="1" s="1"/>
  <c r="BA528" i="7" s="1"/>
  <c r="AF129" i="1"/>
  <c r="CY127" i="1"/>
  <c r="X127" i="1" s="1"/>
  <c r="AZ549" i="7" s="1"/>
  <c r="L547" i="7" s="1"/>
  <c r="CZ127" i="1"/>
  <c r="Y127" i="1" s="1"/>
  <c r="BA549" i="7" s="1"/>
  <c r="L548" i="7" s="1"/>
  <c r="AI161" i="1"/>
  <c r="V174" i="1"/>
  <c r="AC161" i="1"/>
  <c r="P174" i="1"/>
  <c r="CE174" i="1"/>
  <c r="CF174" i="1"/>
  <c r="CH174" i="1"/>
  <c r="AB174" i="1"/>
  <c r="AD161" i="1"/>
  <c r="Q174" i="1"/>
  <c r="AE161" i="1"/>
  <c r="R174" i="1"/>
  <c r="CY166" i="1"/>
  <c r="X166" i="1" s="1"/>
  <c r="AZ660" i="7" s="1"/>
  <c r="CZ166" i="1"/>
  <c r="Y166" i="1" s="1"/>
  <c r="BA660" i="7" s="1"/>
  <c r="AF174" i="1"/>
  <c r="CY169" i="1"/>
  <c r="X169" i="1" s="1"/>
  <c r="AZ724" i="7" s="1"/>
  <c r="L722" i="7" s="1"/>
  <c r="CZ169" i="1"/>
  <c r="Y169" i="1" s="1"/>
  <c r="BA724" i="7" s="1"/>
  <c r="L723" i="7" s="1"/>
  <c r="CY170" i="1"/>
  <c r="X170" i="1" s="1"/>
  <c r="AZ743" i="7" s="1"/>
  <c r="L741" i="7" s="1"/>
  <c r="CZ170" i="1"/>
  <c r="Y170" i="1" s="1"/>
  <c r="BA743" i="7" s="1"/>
  <c r="L742" i="7" s="1"/>
  <c r="CY171" i="1"/>
  <c r="X171" i="1" s="1"/>
  <c r="AZ763" i="7" s="1"/>
  <c r="L761" i="7" s="1"/>
  <c r="CZ171" i="1"/>
  <c r="Y171" i="1" s="1"/>
  <c r="BA763" i="7" s="1"/>
  <c r="L762" i="7" s="1"/>
  <c r="CY172" i="1"/>
  <c r="X172" i="1" s="1"/>
  <c r="AZ783" i="7" s="1"/>
  <c r="L781" i="7" s="1"/>
  <c r="CZ172" i="1"/>
  <c r="Y172" i="1" s="1"/>
  <c r="BA783" i="7" s="1"/>
  <c r="L782" i="7" s="1"/>
  <c r="CA206" i="1"/>
  <c r="AR218" i="1"/>
  <c r="CC206" i="1"/>
  <c r="AT218" i="1"/>
  <c r="O206" i="1"/>
  <c r="F220" i="1"/>
  <c r="CA250" i="1"/>
  <c r="AR256" i="1"/>
  <c r="CB250" i="1"/>
  <c r="AS256" i="1"/>
  <c r="O250" i="1"/>
  <c r="F258" i="1"/>
  <c r="AC288" i="1"/>
  <c r="P308" i="1"/>
  <c r="CE308" i="1"/>
  <c r="CF308" i="1"/>
  <c r="CH308" i="1"/>
  <c r="AB308" i="1"/>
  <c r="Q288" i="1"/>
  <c r="F320" i="1"/>
  <c r="R288" i="1"/>
  <c r="F322" i="1"/>
  <c r="CY305" i="1"/>
  <c r="X305" i="1" s="1"/>
  <c r="AZ1057" i="7" s="1"/>
  <c r="CZ305" i="1"/>
  <c r="Y305" i="1" s="1"/>
  <c r="AF308" i="1"/>
  <c r="U288" i="1"/>
  <c r="F330" i="1"/>
  <c r="G1095" i="7" s="1"/>
  <c r="AL308" i="1" l="1"/>
  <c r="BA1057" i="7"/>
  <c r="L1188" i="7" s="1"/>
  <c r="L1055" i="7"/>
  <c r="L1167" i="7"/>
  <c r="L1083" i="7"/>
  <c r="AN783" i="7"/>
  <c r="K783" i="7"/>
  <c r="I783" i="7" s="1"/>
  <c r="AN763" i="7"/>
  <c r="K763" i="7"/>
  <c r="I763" i="7" s="1"/>
  <c r="AN743" i="7"/>
  <c r="K743" i="7"/>
  <c r="I743" i="7" s="1"/>
  <c r="AN724" i="7"/>
  <c r="K724" i="7"/>
  <c r="I724" i="7" s="1"/>
  <c r="L659" i="7"/>
  <c r="L801" i="7"/>
  <c r="L658" i="7"/>
  <c r="L800" i="7"/>
  <c r="AN549" i="7"/>
  <c r="K549" i="7"/>
  <c r="I549" i="7" s="1"/>
  <c r="L527" i="7"/>
  <c r="L1139" i="7"/>
  <c r="L567" i="7"/>
  <c r="L526" i="7"/>
  <c r="L1138" i="7"/>
  <c r="L1121" i="7" s="1"/>
  <c r="L566" i="7"/>
  <c r="AN372" i="7"/>
  <c r="K372" i="7"/>
  <c r="I372" i="7" s="1"/>
  <c r="AN359" i="7"/>
  <c r="K359" i="7"/>
  <c r="I359" i="7" s="1"/>
  <c r="AN347" i="7"/>
  <c r="K347" i="7"/>
  <c r="I347" i="7" s="1"/>
  <c r="AN334" i="7"/>
  <c r="K334" i="7"/>
  <c r="I334" i="7" s="1"/>
  <c r="AN314" i="7"/>
  <c r="K314" i="7"/>
  <c r="I314" i="7" s="1"/>
  <c r="AN294" i="7"/>
  <c r="K294" i="7"/>
  <c r="I294" i="7" s="1"/>
  <c r="AN275" i="7"/>
  <c r="K275" i="7"/>
  <c r="I275" i="7" s="1"/>
  <c r="AN224" i="7"/>
  <c r="K224" i="7"/>
  <c r="I224" i="7" s="1"/>
  <c r="AN204" i="7"/>
  <c r="K204" i="7"/>
  <c r="I204" i="7" s="1"/>
  <c r="AN152" i="7"/>
  <c r="K152" i="7"/>
  <c r="I152" i="7" s="1"/>
  <c r="AN142" i="7"/>
  <c r="K142" i="7"/>
  <c r="I142" i="7" s="1"/>
  <c r="AN98" i="7"/>
  <c r="K98" i="7"/>
  <c r="I98" i="7" s="1"/>
  <c r="K42" i="7"/>
  <c r="G1197" i="7"/>
  <c r="L1119" i="7"/>
  <c r="L392" i="7"/>
  <c r="L75" i="7"/>
  <c r="L1187" i="7"/>
  <c r="L1118" i="7"/>
  <c r="L1101" i="7" s="1"/>
  <c r="L391" i="7"/>
  <c r="L399" i="7" s="1"/>
  <c r="L74" i="7"/>
  <c r="AF288" i="1"/>
  <c r="S308" i="1"/>
  <c r="AL288" i="1"/>
  <c r="Y308" i="1"/>
  <c r="AK308" i="1"/>
  <c r="GM305" i="1"/>
  <c r="AB288" i="1"/>
  <c r="O308" i="1"/>
  <c r="CH288" i="1"/>
  <c r="AY308" i="1"/>
  <c r="CF288" i="1"/>
  <c r="AW308" i="1"/>
  <c r="CE288" i="1"/>
  <c r="AV308" i="1"/>
  <c r="P288" i="1"/>
  <c r="F311" i="1"/>
  <c r="AS250" i="1"/>
  <c r="F273" i="1"/>
  <c r="AR250" i="1"/>
  <c r="F284" i="1"/>
  <c r="AT206" i="1"/>
  <c r="F236" i="1"/>
  <c r="AR206" i="1"/>
  <c r="F246" i="1"/>
  <c r="GM172" i="1"/>
  <c r="GO172" i="1" s="1"/>
  <c r="GM171" i="1"/>
  <c r="GO171" i="1" s="1"/>
  <c r="GM170" i="1"/>
  <c r="GO170" i="1" s="1"/>
  <c r="GM169" i="1"/>
  <c r="GO169" i="1" s="1"/>
  <c r="AF161" i="1"/>
  <c r="S174" i="1"/>
  <c r="AL174" i="1"/>
  <c r="AK174" i="1"/>
  <c r="GM166" i="1"/>
  <c r="R161" i="1"/>
  <c r="F188" i="1"/>
  <c r="Q161" i="1"/>
  <c r="F186" i="1"/>
  <c r="AB161" i="1"/>
  <c r="O174" i="1"/>
  <c r="CH161" i="1"/>
  <c r="AY174" i="1"/>
  <c r="CF161" i="1"/>
  <c r="AW174" i="1"/>
  <c r="CE161" i="1"/>
  <c r="AV174" i="1"/>
  <c r="P161" i="1"/>
  <c r="F177" i="1"/>
  <c r="V161" i="1"/>
  <c r="F197" i="1"/>
  <c r="G813" i="7" s="1"/>
  <c r="GM127" i="1"/>
  <c r="GO127" i="1" s="1"/>
  <c r="AF119" i="1"/>
  <c r="S129" i="1"/>
  <c r="AL129" i="1"/>
  <c r="AK129" i="1"/>
  <c r="GM126" i="1"/>
  <c r="R119" i="1"/>
  <c r="F143" i="1"/>
  <c r="Q119" i="1"/>
  <c r="F141" i="1"/>
  <c r="AB119" i="1"/>
  <c r="O129" i="1"/>
  <c r="CH119" i="1"/>
  <c r="AY129" i="1"/>
  <c r="CF119" i="1"/>
  <c r="AW129" i="1"/>
  <c r="CE119" i="1"/>
  <c r="AV129" i="1"/>
  <c r="P119" i="1"/>
  <c r="F132" i="1"/>
  <c r="V119" i="1"/>
  <c r="F152" i="1"/>
  <c r="G579" i="7" s="1"/>
  <c r="GM84" i="1"/>
  <c r="GN84" i="1" s="1"/>
  <c r="GM83" i="1"/>
  <c r="GN83" i="1" s="1"/>
  <c r="GM81" i="1"/>
  <c r="GN81" i="1" s="1"/>
  <c r="GM80" i="1"/>
  <c r="GN80" i="1" s="1"/>
  <c r="GM79" i="1"/>
  <c r="GN79" i="1" s="1"/>
  <c r="GM78" i="1"/>
  <c r="GN78" i="1" s="1"/>
  <c r="GM77" i="1"/>
  <c r="GN77" i="1" s="1"/>
  <c r="GM73" i="1"/>
  <c r="GN73" i="1" s="1"/>
  <c r="GM71" i="1"/>
  <c r="GN71" i="1" s="1"/>
  <c r="GM66" i="1"/>
  <c r="GN66" i="1" s="1"/>
  <c r="GM65" i="1"/>
  <c r="GN65" i="1" s="1"/>
  <c r="GM63" i="1"/>
  <c r="GN63" i="1" s="1"/>
  <c r="U18" i="1"/>
  <c r="F393" i="1"/>
  <c r="AF60" i="1"/>
  <c r="S87" i="1"/>
  <c r="AL87" i="1"/>
  <c r="AK87" i="1"/>
  <c r="GM62" i="1"/>
  <c r="R60" i="1"/>
  <c r="F101" i="1"/>
  <c r="R338" i="1"/>
  <c r="Q60" i="1"/>
  <c r="F99" i="1"/>
  <c r="Q338" i="1"/>
  <c r="AB60" i="1"/>
  <c r="O87" i="1"/>
  <c r="CH60" i="1"/>
  <c r="AY87" i="1"/>
  <c r="CF60" i="1"/>
  <c r="AW87" i="1"/>
  <c r="CE60" i="1"/>
  <c r="AV87" i="1"/>
  <c r="P60" i="1"/>
  <c r="F90" i="1"/>
  <c r="P338" i="1"/>
  <c r="V60" i="1"/>
  <c r="F110" i="1"/>
  <c r="G404" i="7" s="1"/>
  <c r="V338" i="1"/>
  <c r="L574" i="7" l="1"/>
  <c r="L808" i="7"/>
  <c r="AN76" i="7"/>
  <c r="K76" i="7"/>
  <c r="I76" i="7" s="1"/>
  <c r="AN528" i="7"/>
  <c r="K528" i="7"/>
  <c r="I528" i="7" s="1"/>
  <c r="AN660" i="7"/>
  <c r="K660" i="7"/>
  <c r="I660" i="7" s="1"/>
  <c r="L1056" i="7"/>
  <c r="L1168" i="7"/>
  <c r="L1084" i="7"/>
  <c r="L1091" i="7" s="1"/>
  <c r="L1200" i="7" s="1"/>
  <c r="V56" i="1"/>
  <c r="F361" i="1"/>
  <c r="V371" i="1"/>
  <c r="P56" i="1"/>
  <c r="F341" i="1"/>
  <c r="P371" i="1"/>
  <c r="AV60" i="1"/>
  <c r="F92" i="1"/>
  <c r="AV338" i="1"/>
  <c r="AW60" i="1"/>
  <c r="F93" i="1"/>
  <c r="AW338" i="1"/>
  <c r="AY60" i="1"/>
  <c r="F95" i="1"/>
  <c r="AY338" i="1"/>
  <c r="O60" i="1"/>
  <c r="F89" i="1"/>
  <c r="O338" i="1"/>
  <c r="Q56" i="1"/>
  <c r="F350" i="1"/>
  <c r="Q371" i="1"/>
  <c r="R56" i="1"/>
  <c r="F352" i="1"/>
  <c r="R371" i="1"/>
  <c r="GN62" i="1"/>
  <c r="CB87" i="1" s="1"/>
  <c r="CA87" i="1"/>
  <c r="AK60" i="1"/>
  <c r="X87" i="1"/>
  <c r="AL60" i="1"/>
  <c r="Y87" i="1"/>
  <c r="S60" i="1"/>
  <c r="F102" i="1"/>
  <c r="S338" i="1"/>
  <c r="AV119" i="1"/>
  <c r="F134" i="1"/>
  <c r="AW119" i="1"/>
  <c r="F135" i="1"/>
  <c r="AY119" i="1"/>
  <c r="F137" i="1"/>
  <c r="O119" i="1"/>
  <c r="F131" i="1"/>
  <c r="GO126" i="1"/>
  <c r="CC129" i="1" s="1"/>
  <c r="CA129" i="1"/>
  <c r="AK119" i="1"/>
  <c r="X129" i="1"/>
  <c r="AL119" i="1"/>
  <c r="Y129" i="1"/>
  <c r="S119" i="1"/>
  <c r="F144" i="1"/>
  <c r="AV161" i="1"/>
  <c r="F179" i="1"/>
  <c r="AW161" i="1"/>
  <c r="F180" i="1"/>
  <c r="AY161" i="1"/>
  <c r="F182" i="1"/>
  <c r="O161" i="1"/>
  <c r="F176" i="1"/>
  <c r="GO166" i="1"/>
  <c r="CC174" i="1" s="1"/>
  <c r="CA174" i="1"/>
  <c r="AK161" i="1"/>
  <c r="X174" i="1"/>
  <c r="AL161" i="1"/>
  <c r="Y174" i="1"/>
  <c r="S161" i="1"/>
  <c r="F189" i="1"/>
  <c r="AV288" i="1"/>
  <c r="F313" i="1"/>
  <c r="AW288" i="1"/>
  <c r="F314" i="1"/>
  <c r="AY288" i="1"/>
  <c r="F316" i="1"/>
  <c r="O288" i="1"/>
  <c r="F310" i="1"/>
  <c r="GP305" i="1"/>
  <c r="CD308" i="1" s="1"/>
  <c r="CA308" i="1"/>
  <c r="AK288" i="1"/>
  <c r="X308" i="1"/>
  <c r="Y288" i="1"/>
  <c r="F335" i="1"/>
  <c r="S288" i="1"/>
  <c r="F323" i="1"/>
  <c r="L1202" i="7" l="1"/>
  <c r="L1203" i="7" s="1"/>
  <c r="L1204" i="7" s="1"/>
  <c r="C39" i="7" s="1"/>
  <c r="C42" i="7"/>
  <c r="K43" i="7"/>
  <c r="G1198" i="7"/>
  <c r="L1150" i="7"/>
  <c r="L1146" i="7"/>
  <c r="AN1057" i="7"/>
  <c r="K1057" i="7"/>
  <c r="X288" i="1"/>
  <c r="F334" i="1"/>
  <c r="CA288" i="1"/>
  <c r="AR308" i="1"/>
  <c r="CD288" i="1"/>
  <c r="AU308" i="1"/>
  <c r="Y161" i="1"/>
  <c r="F201" i="1"/>
  <c r="X161" i="1"/>
  <c r="F200" i="1"/>
  <c r="CA161" i="1"/>
  <c r="AR174" i="1"/>
  <c r="CC161" i="1"/>
  <c r="AT174" i="1"/>
  <c r="Y119" i="1"/>
  <c r="F156" i="1"/>
  <c r="X119" i="1"/>
  <c r="F155" i="1"/>
  <c r="CA119" i="1"/>
  <c r="AR129" i="1"/>
  <c r="CC119" i="1"/>
  <c r="AT129" i="1"/>
  <c r="S56" i="1"/>
  <c r="F353" i="1"/>
  <c r="J16" i="2" s="1"/>
  <c r="J18" i="2" s="1"/>
  <c r="S371" i="1"/>
  <c r="Y60" i="1"/>
  <c r="F114" i="1"/>
  <c r="Y338" i="1"/>
  <c r="X60" i="1"/>
  <c r="F113" i="1"/>
  <c r="X338" i="1"/>
  <c r="CA60" i="1"/>
  <c r="AR87" i="1"/>
  <c r="CB60" i="1"/>
  <c r="AS87" i="1"/>
  <c r="R18" i="1"/>
  <c r="F385" i="1"/>
  <c r="Q18" i="1"/>
  <c r="F383" i="1"/>
  <c r="O56" i="1"/>
  <c r="F340" i="1"/>
  <c r="O371" i="1"/>
  <c r="AY56" i="1"/>
  <c r="F346" i="1"/>
  <c r="AY371" i="1"/>
  <c r="AW56" i="1"/>
  <c r="F344" i="1"/>
  <c r="AW371" i="1"/>
  <c r="AV56" i="1"/>
  <c r="F343" i="1"/>
  <c r="AV371" i="1"/>
  <c r="P18" i="1"/>
  <c r="F374" i="1"/>
  <c r="V18" i="1"/>
  <c r="F394" i="1"/>
  <c r="BU1057" i="7" l="1"/>
  <c r="BV1057" i="7" s="1"/>
  <c r="BR1057" i="7"/>
  <c r="I1057" i="7"/>
  <c r="L1193" i="7"/>
  <c r="L1170" i="7"/>
  <c r="AV18" i="1"/>
  <c r="F376" i="1"/>
  <c r="AW18" i="1"/>
  <c r="F377" i="1"/>
  <c r="AY18" i="1"/>
  <c r="F379" i="1"/>
  <c r="O18" i="1"/>
  <c r="F373" i="1"/>
  <c r="AS60" i="1"/>
  <c r="F104" i="1"/>
  <c r="AS338" i="1"/>
  <c r="AR60" i="1"/>
  <c r="F115" i="1"/>
  <c r="AR338" i="1"/>
  <c r="X56" i="1"/>
  <c r="F364" i="1"/>
  <c r="X371" i="1"/>
  <c r="Y56" i="1"/>
  <c r="F365" i="1"/>
  <c r="Y371" i="1"/>
  <c r="S18" i="1"/>
  <c r="F386" i="1"/>
  <c r="AT119" i="1"/>
  <c r="F147" i="1"/>
  <c r="AT338" i="1"/>
  <c r="AR119" i="1"/>
  <c r="F157" i="1"/>
  <c r="AT161" i="1"/>
  <c r="F192" i="1"/>
  <c r="AR161" i="1"/>
  <c r="F202" i="1"/>
  <c r="AU288" i="1"/>
  <c r="F327" i="1"/>
  <c r="AU338" i="1"/>
  <c r="AR288" i="1"/>
  <c r="F336" i="1"/>
  <c r="AU56" i="1" l="1"/>
  <c r="F357" i="1"/>
  <c r="AU371" i="1"/>
  <c r="AT56" i="1"/>
  <c r="F356" i="1"/>
  <c r="AT371" i="1"/>
  <c r="Y18" i="1"/>
  <c r="F398" i="1"/>
  <c r="X18" i="1"/>
  <c r="F397" i="1"/>
  <c r="AR56" i="1"/>
  <c r="F366" i="1"/>
  <c r="AR371" i="1"/>
  <c r="F367" i="1"/>
  <c r="F368" i="1" s="1"/>
  <c r="F369" i="1" s="1"/>
  <c r="AS56" i="1"/>
  <c r="F355" i="1"/>
  <c r="AS371" i="1"/>
  <c r="E16" i="2" l="1"/>
  <c r="F16" i="2"/>
  <c r="F18" i="2" s="1"/>
  <c r="C43" i="7"/>
  <c r="H16" i="2"/>
  <c r="H18" i="2" s="1"/>
  <c r="C45" i="7"/>
  <c r="AS18" i="1"/>
  <c r="F388" i="1"/>
  <c r="E18" i="2"/>
  <c r="AR18" i="1"/>
  <c r="F399" i="1"/>
  <c r="AT18" i="1"/>
  <c r="F389" i="1"/>
  <c r="AU18" i="1"/>
  <c r="F390" i="1"/>
  <c r="I16" i="2" l="1"/>
  <c r="I18" i="2" s="1"/>
</calcChain>
</file>

<file path=xl/sharedStrings.xml><?xml version="1.0" encoding="utf-8"?>
<sst xmlns="http://schemas.openxmlformats.org/spreadsheetml/2006/main" count="12603" uniqueCount="976">
  <si>
    <t>Smeta.RU  (495) 974-1589</t>
  </si>
  <si>
    <t>_PS_</t>
  </si>
  <si>
    <t>Smeta.RU</t>
  </si>
  <si>
    <t/>
  </si>
  <si>
    <t>Новый объект</t>
  </si>
  <si>
    <t>КТП</t>
  </si>
  <si>
    <t>Мишкина З.И.</t>
  </si>
  <si>
    <t>Сукочев А.А.</t>
  </si>
  <si>
    <t>Сметные нормы списания</t>
  </si>
  <si>
    <t>Коды ценников</t>
  </si>
  <si>
    <t>Версия 1.11.0 для ФСНБ-2022 И12</t>
  </si>
  <si>
    <t>ФСНБ-2022 - Изменения И12</t>
  </si>
  <si>
    <t>Поправки для ФСНБ-2022 от 17.12.2024 г И12 (55/пр) Реконструкция</t>
  </si>
  <si>
    <t>Приказ Минстроя России от 30.12.2021 г. № 1046/пр</t>
  </si>
  <si>
    <t>ГСН</t>
  </si>
  <si>
    <t>Новая локальная смета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</si>
  <si>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</si>
  <si>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</si>
  <si>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</si>
  <si>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</si>
  <si>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</si>
  <si>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</si>
  <si>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</si>
  <si>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</si>
  <si>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</si>
  <si>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</si>
  <si>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</si>
  <si>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</si>
  <si>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</si>
  <si>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</si>
  <si>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</si>
  <si>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</si>
  <si>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</si>
  <si>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</si>
  <si>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</si>
  <si>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</si>
  <si>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</si>
  <si>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</si>
  <si>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</si>
  <si>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</si>
  <si>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</si>
  <si>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</si>
  <si>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</si>
  <si>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</si>
  <si>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</si>
  <si>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</si>
  <si>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</si>
  <si>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</si>
  <si>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</si>
  <si>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</si>
  <si>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</si>
  <si>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</si>
  <si>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</si>
  <si>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</si>
  <si>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</si>
  <si>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</si>
  <si>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</si>
  <si>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</si>
  <si>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</si>
  <si>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</si>
  <si>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</si>
  <si>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</si>
  <si>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</si>
  <si>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</si>
  <si>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</si>
  <si>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</si>
  <si>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</si>
  <si>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</si>
  <si>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</si>
  <si>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</si>
  <si>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Реконструкция КТП-1402 по адресу: г.Москва, поселение Щаповское, с.Ознобишино</t>
  </si>
  <si>
    <t>Новый раздел</t>
  </si>
  <si>
    <t>Строительная работы</t>
  </si>
  <si>
    <t>1</t>
  </si>
  <si>
    <t>07-05-001-02</t>
  </si>
  <si>
    <t>Демонтаж блоков стен подвалов массой: до 1 т</t>
  </si>
  <si>
    <t>100 ШТ</t>
  </si>
  <si>
    <t>ГЭСН-2022, 07-05-001-02, приказ Минстроя России от 18.05.2022 г. № 378/пр</t>
  </si>
  <si>
    <t>*1,01)*0</t>
  </si>
  <si>
    <t>*0,8</t>
  </si>
  <si>
    <t>Общестроительные работы</t>
  </si>
  <si>
    <t>Бетонные и железобетонные сборные конструкции и работы в строительстве</t>
  </si>
  <si>
    <t>Бетонные и железобетонные сборные конструкции и работы в строительстве жилых, общественных и административно-бытовых зданий промышленных предприятий</t>
  </si>
  <si>
    <t>ФЕР-07</t>
  </si>
  <si>
    <t>Поправка: 421/пр_2020_п.120_абз.2 Поправка: 571/пр_2022_п.83_т.2_стр.1_стб.3</t>
  </si>
  <si>
    <t>Пр/812-007.1-1</t>
  </si>
  <si>
    <t>Пр/774-007.1</t>
  </si>
  <si>
    <t>2</t>
  </si>
  <si>
    <t>07-05-001-03</t>
  </si>
  <si>
    <t>Демонтаж блоков стен подвалов массой: до 1,5 т</t>
  </si>
  <si>
    <t>ГЭСН-2022, 07-05-001-03, приказ Минстроя России от 18.05.2022 г. № 378/пр</t>
  </si>
  <si>
    <t>3</t>
  </si>
  <si>
    <t>09-03-014-01</t>
  </si>
  <si>
    <t>Демонтаж : Обвяка уголком 63х63х5 фундаментных блоков</t>
  </si>
  <si>
    <t>т</t>
  </si>
  <si>
    <t>ГЭСН-2022, 09-03-014-01, приказ Минстроя России от 18.05.2022 г. № 378/пр</t>
  </si>
  <si>
    <t>Поправка: 571/пр_2022_п.83_т.2_стр.4_стб.3 Наименование: Разборка и (или) демонтаж строительных конструкций, систем и сетей инженерно-технического обеспечения, в том числе их элементов: металлических, металлокомпозитных, композитных конструкций</t>
  </si>
  <si>
    <t>*0</t>
  </si>
  <si>
    <t>*0,7</t>
  </si>
  <si>
    <t>Строительные металлические конструкции</t>
  </si>
  <si>
    <t>ФЕР-09</t>
  </si>
  <si>
    <t>Поправка: 571/пр_2022_п.83_т.2_стр.4_стб.3</t>
  </si>
  <si>
    <t>Пр/812-009.0-1</t>
  </si>
  <si>
    <t>Пр/774-009.0</t>
  </si>
  <si>
    <t>4</t>
  </si>
  <si>
    <t>47-01-001-02</t>
  </si>
  <si>
    <t>Планировка участка: вручную</t>
  </si>
  <si>
    <t>100 м2</t>
  </si>
  <si>
    <t>ГЭСН-2022, 47-01-001-02, приказ Минстроя России от 18.05.2022 г. № 378/пр</t>
  </si>
  <si>
    <t>Озеленение. Защитные лесонасаждения</t>
  </si>
  <si>
    <t>ФЕР-47</t>
  </si>
  <si>
    <t>Пр/812-041.0-1</t>
  </si>
  <si>
    <t>Пр/774-041.0</t>
  </si>
  <si>
    <t>5</t>
  </si>
  <si>
    <t>01-02-057-02</t>
  </si>
  <si>
    <t>Разработка грунта вручную в траншеях глубиной до 2 м без креплений с откосами, группа грунтов: 2</t>
  </si>
  <si>
    <t>100 м3</t>
  </si>
  <si>
    <t>ГЭСН-2022, 01-02-057-02, приказ Минстроя России от 18.05.2022 г. № 378/пр</t>
  </si>
  <si>
    <t>Поправка: Прил. 1.12, п.3.184. Наименование: Разработка и обратная засыпка вручную сильно налипающего на инструменты грунта 2 группы</t>
  </si>
  <si>
    <t>*1,15</t>
  </si>
  <si>
    <t>Земляные работы</t>
  </si>
  <si>
    <t>Земляные работы, выполняемые: ручным способом</t>
  </si>
  <si>
    <t>ФЕР-01</t>
  </si>
  <si>
    <t>Поправка: Прил. 1.12, п.3.184.</t>
  </si>
  <si>
    <t>Пр/812-001.2-1</t>
  </si>
  <si>
    <t>Пр/774-001.2</t>
  </si>
  <si>
    <t>6</t>
  </si>
  <si>
    <t>08-01-002-01</t>
  </si>
  <si>
    <t>Устройство основания под фундаменты: песчаного</t>
  </si>
  <si>
    <t>м3</t>
  </si>
  <si>
    <t>ГЭСН-2022, 08-01-002-01, приказ Минстроя России от 18.05.2022 г. № 378/пр</t>
  </si>
  <si>
    <t>Конструкции из кирпича и блоков</t>
  </si>
  <si>
    <t>ФЕР-08</t>
  </si>
  <si>
    <t>Пр/812-008.0-1</t>
  </si>
  <si>
    <t>Пр/774-008.0</t>
  </si>
  <si>
    <t>6,1</t>
  </si>
  <si>
    <t>02.3.01.02-1118</t>
  </si>
  <si>
    <t>Песок природный для строительных работ II класс, средний</t>
  </si>
  <si>
    <t>ФСБЦ-2022, 02.3.01.02-1118, приказ Минстроя России от 18.05.2022 г. № 378/пр</t>
  </si>
  <si>
    <t>7</t>
  </si>
  <si>
    <t>08-01-002-02</t>
  </si>
  <si>
    <t>Устройство основания под фундаменты: щебеночного</t>
  </si>
  <si>
    <t>ГЭСН-2022, 08-01-002-02, приказ Минстроя России от 18.05.2022 г. № 378/пр</t>
  </si>
  <si>
    <t>7,1</t>
  </si>
  <si>
    <t>02.2.05.04-2234</t>
  </si>
  <si>
    <t>Щебень из гравия для строительных работ М 800, фракция 20-40 мм</t>
  </si>
  <si>
    <t>ФСБЦ-2022, 02.2.05.04-2234, приказ Минстроя России от 18.05.2022 г. № 378/пр</t>
  </si>
  <si>
    <t>8</t>
  </si>
  <si>
    <t>Установка блоков стен подвалов массой: до 1 т</t>
  </si>
  <si>
    <t>8,1</t>
  </si>
  <si>
    <t>05.1.08.01-0282</t>
  </si>
  <si>
    <t>Блоки фундаментные ФБС 12-4-6</t>
  </si>
  <si>
    <t>ФСБЦ-2022 доп.6, 05.1.08.01-0282, приказ Минстроя России от 11.05.2023 г. № 335/пр</t>
  </si>
  <si>
    <t>9</t>
  </si>
  <si>
    <t>Установка блоков стен подвалов массой: до 1,5 т</t>
  </si>
  <si>
    <t>9,1</t>
  </si>
  <si>
    <t>Блоки фундаментные ФБС 24-4-6</t>
  </si>
  <si>
    <t>10</t>
  </si>
  <si>
    <t>Обвяка уголком 63х63х5 фундаментных блоков</t>
  </si>
  <si>
    <t>10,1</t>
  </si>
  <si>
    <t>08.3.08.02-0045</t>
  </si>
  <si>
    <t>Уголок стальной горячекатаный равнополочный, 63х63х5</t>
  </si>
  <si>
    <t>ФСБЦ-2022, 08.3.08.02-0045, приказ Минстроя России от 18.05.2022 г. № 378/пр</t>
  </si>
  <si>
    <t>11</t>
  </si>
  <si>
    <t>08-01-003-05</t>
  </si>
  <si>
    <t>Гидроизоляция стен, фундаментов: боковая оклеечная по выровненной поверхности бутовой кладки, кирпичу и бетону в 2 слоя</t>
  </si>
  <si>
    <t>ГЭСН-2022 доп.6, 08-01-003-05, приказ Минстроя России от 11.05.2023 г. № 335/пр</t>
  </si>
  <si>
    <t>12</t>
  </si>
  <si>
    <t>13-07-001-02</t>
  </si>
  <si>
    <t>Обезжиривание поверхностей аппаратов и трубопроводов диаметром до 500 мм: уайт-спиритом</t>
  </si>
  <si>
    <t>ГЭСН-2022, 13-07-001-02, приказ Минстроя России от 18.05.2022 г. № 378/пр</t>
  </si>
  <si>
    <t>Защита строительных конструкций и оборудования от коррозии</t>
  </si>
  <si>
    <t>Защита строительных конструкций</t>
  </si>
  <si>
    <t>ФЕР-13</t>
  </si>
  <si>
    <t>Пр/812-013.0-1</t>
  </si>
  <si>
    <t>Пр/774-013.0</t>
  </si>
  <si>
    <t>13</t>
  </si>
  <si>
    <t>13-03-002-04</t>
  </si>
  <si>
    <t>Огрунтовка металлических поверхностей за один раз: грунтовкой ГФ-021</t>
  </si>
  <si>
    <t>ГЭСН-2022, 13-03-002-04, приказ Минстроя России от 18.05.2022 г. № 378/пр</t>
  </si>
  <si>
    <t>14</t>
  </si>
  <si>
    <t>13-03-004-26</t>
  </si>
  <si>
    <t>Окраска металлических огрунтованных поверхностей: эмалью ПФ-115</t>
  </si>
  <si>
    <t>ГЭСН-2022 доп.4, 13-03-004-26, приказ Минстроя России от 27.12.2022 г. № 1133/пр</t>
  </si>
  <si>
    <t>15</t>
  </si>
  <si>
    <t>51-01-006-01</t>
  </si>
  <si>
    <t>Погрузка грунта вручную в автомобили-самосвалы с выгрузкой</t>
  </si>
  <si>
    <t>ГЭСНр-2022, 51-01-006-01, приказ Минстроя России от 18.05.2022 г. № 378/пр</t>
  </si>
  <si>
    <t>Ремонтно-строительные работы</t>
  </si>
  <si>
    <t>Земляные работы, выполняемые: вручную</t>
  </si>
  <si>
    <t>рФЕР-51</t>
  </si>
  <si>
    <t>Пр/812-085.2-1</t>
  </si>
  <si>
    <t>Пр/774-085.2</t>
  </si>
  <si>
    <t>Земляные работы, выполняемые ручным способом</t>
  </si>
  <si>
    <t>16</t>
  </si>
  <si>
    <t>02-15-1-01-0025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</si>
  <si>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</si>
  <si>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1т груза</t>
  </si>
  <si>
    <t>Автомобили бортовые</t>
  </si>
  <si>
    <t>Перевозка строительных грузов автомобильным транспортом</t>
  </si>
  <si>
    <t>Перевозка строительных грузов автомобильным транспортом, тракторами и прицепами</t>
  </si>
  <si>
    <t>812/пр и 774/пр п.107</t>
  </si>
  <si>
    <t>Пр/812-107.0-1</t>
  </si>
  <si>
    <t>Пр/774-107.0</t>
  </si>
  <si>
    <t>17</t>
  </si>
  <si>
    <t>69-01-009-01</t>
  </si>
  <si>
    <t>Очистка помещений от строительного мусора</t>
  </si>
  <si>
    <t>100 т</t>
  </si>
  <si>
    <t>ГЭСНр-2022, 69-01-009-01, приказ Минстроя России от 18.05.2022 г. № 378/пр</t>
  </si>
  <si>
    <t>Прочие ремонтно-строительные работы</t>
  </si>
  <si>
    <t>рФЕР-69</t>
  </si>
  <si>
    <t>Пр/812-103.0-1</t>
  </si>
  <si>
    <t>Пр/774-103.0</t>
  </si>
  <si>
    <t>18</t>
  </si>
  <si>
    <t>Погрузка строительного мусора вручную в автомобили-самосвалы с выгрузкой</t>
  </si>
  <si>
    <t>19</t>
  </si>
  <si>
    <t>Демонтажные работы</t>
  </si>
  <si>
    <t>20</t>
  </si>
  <si>
    <t>м08-01-025-01</t>
  </si>
  <si>
    <t>Демонтаж: Подстанция комплектная трансформаторная напряжением до 10 кВ до 400 кВ·А</t>
  </si>
  <si>
    <t>ШТ</t>
  </si>
  <si>
    <t>ГЭСНм-2022, м08-01-025-01, приказ Минстроя России от 18.05.2022 г. № 378/пр</t>
  </si>
  <si>
    <t>Поправка: 571/пр_2022_п.84_т.3_стр.4_стб.3 Наименование: Демонтаж оборудования, не пригодного для дальнейшего использования (предназначено в лом), без разборки и резки</t>
  </si>
  <si>
    <t>*0,3</t>
  </si>
  <si>
    <t>Монтажные работы</t>
  </si>
  <si>
    <t>Электротехнические установки: на других объектах</t>
  </si>
  <si>
    <t>мФЕР-08</t>
  </si>
  <si>
    <t>Поправка: 571/пр_2022_п.84_т.3_стр.4_стб.3</t>
  </si>
  <si>
    <t>Пр/812-049.3-1</t>
  </si>
  <si>
    <t>Пр/774-049.3</t>
  </si>
  <si>
    <t>21</t>
  </si>
  <si>
    <t>м08-01-062-01</t>
  </si>
  <si>
    <t>Демонтаж: Трансформатор силовой, масляный, масса: до 1 т</t>
  </si>
  <si>
    <t>ГЭСНм-2022, м08-01-062-01, приказ Минстроя России от 18.05.2022 г. № 378/пр</t>
  </si>
  <si>
    <t>22</t>
  </si>
  <si>
    <t>33-04-030-03</t>
  </si>
  <si>
    <t>Демонтаж: разъединителей: с помощью механизмов</t>
  </si>
  <si>
    <t>КОМПЛ</t>
  </si>
  <si>
    <t>ГЭСН-2022, 33-04-030-03, приказ Минстроя России от 18.05.2022 г. № 378/пр</t>
  </si>
  <si>
    <t>Линии электропередачи</t>
  </si>
  <si>
    <t>ФЕР-33</t>
  </si>
  <si>
    <t>Пр/812-027.0-1</t>
  </si>
  <si>
    <t>Пр/774-027.0</t>
  </si>
  <si>
    <t>23</t>
  </si>
  <si>
    <t>33-04-020-01</t>
  </si>
  <si>
    <t>Демонтаж провода СИП-3 на опорах, (3 провода) при 21 опоре на км линии: с использованием автогидроподъемника</t>
  </si>
  <si>
    <t>км</t>
  </si>
  <si>
    <t>ГЭСН-2022 доп.6, 33-04-020-01, приказ Минстроя России от 11.05.2023 г. № 335/пр</t>
  </si>
  <si>
    <t>24</t>
  </si>
  <si>
    <t>м08-01-052-02</t>
  </si>
  <si>
    <t>Демонтаж: Изолятор опорный напряжением: до 10 кВ</t>
  </si>
  <si>
    <t>ГЭСНм-2022, м08-01-052-02, приказ Минстроя России от 18.05.2022 г. № 378/пр</t>
  </si>
  <si>
    <t>25</t>
  </si>
  <si>
    <t>м08-02-471-02</t>
  </si>
  <si>
    <t>Демонтаж: Заземлитель вертикальный из угловой стали размером: 63х63х6 мм</t>
  </si>
  <si>
    <t>10 ШТ</t>
  </si>
  <si>
    <t>ГЭСНм-2022 доп.8, м08-02-471-02, приказ Минстроя России от 14.11.2023 г. № 817/пр</t>
  </si>
  <si>
    <t>26</t>
  </si>
  <si>
    <t>м08-02-472-07</t>
  </si>
  <si>
    <t>Демонтаж: Проводник заземляющий открыто по строительным основаниям: из полосовой стали сечением 160 мм2</t>
  </si>
  <si>
    <t>100 м</t>
  </si>
  <si>
    <t>ГЭСНм-2022 доп.8, м08-02-472-07, приказ Минстроя России от 14.11.2023 г. № 817/пр</t>
  </si>
  <si>
    <t>27</t>
  </si>
  <si>
    <t>м08-01-025-02</t>
  </si>
  <si>
    <t>Подстанция комплектная трансформаторная напряжением до 10 кВ мощностью: до 1000 кВ·А</t>
  </si>
  <si>
    <t>ГЭСНм-2022, м08-01-025-02, приказ Минстроя России от 18.05.2022 г. № 378/пр</t>
  </si>
  <si>
    <t>28</t>
  </si>
  <si>
    <t>Трансформатор силовой, масляный, масса: до 1 т</t>
  </si>
  <si>
    <t>29</t>
  </si>
  <si>
    <t>Установка разъединителей: с помощью механизмов</t>
  </si>
  <si>
    <t>30</t>
  </si>
  <si>
    <t>м08-01-082-01</t>
  </si>
  <si>
    <t>Зажим наборный без кожуха</t>
  </si>
  <si>
    <t>ГЭСНм-2022, м08-01-082-01, приказ Минстроя России от 18.05.2022 г. № 378/пр</t>
  </si>
  <si>
    <t>31</t>
  </si>
  <si>
    <t>Подвеска провода СИП-3 на опорах, (3 провода) при 21 опоре на км линии: с использованием автогидроподъемника</t>
  </si>
  <si>
    <t>32</t>
  </si>
  <si>
    <t>Изолятор опорный напряжением: до 10 кВ</t>
  </si>
  <si>
    <t>33</t>
  </si>
  <si>
    <t>м08-03-494-03</t>
  </si>
  <si>
    <t>Кабельные наконечники</t>
  </si>
  <si>
    <t>ГЭСНм-2022 доп.6, м08-03-494-03, приказ Минстроя России от 11.05.2023 г. № 335/пр</t>
  </si>
  <si>
    <t>34</t>
  </si>
  <si>
    <t>Заземлитель вертикальный из угловой стали размером: 63х63х6 мм</t>
  </si>
  <si>
    <t>35</t>
  </si>
  <si>
    <t>Проводник заземляющий открыто по строительным основаниям: из полосовой стали сечением 160 мм2</t>
  </si>
  <si>
    <t>36</t>
  </si>
  <si>
    <t>м08-02-472-09</t>
  </si>
  <si>
    <t>Проводник заземляющий открыто по строительным основаниям: из круглой стали диаметром 12 мм</t>
  </si>
  <si>
    <t>ГЭСНм-2022 доп.8, м08-02-472-09, приказ Минстроя России от 14.11.2023 г. № 817/пр</t>
  </si>
  <si>
    <t>Материалы не учтенные ценником</t>
  </si>
  <si>
    <t>37</t>
  </si>
  <si>
    <t>21.2.01.01-0051</t>
  </si>
  <si>
    <t>Провод самонесущий изолированный СИП-3 1х95-20</t>
  </si>
  <si>
    <t>1000 м</t>
  </si>
  <si>
    <t>ФСБЦ-2022 доп.4, 21.2.01.01-0051, приказ Минстроя России от 27.12.2022 г. № 1133/пр</t>
  </si>
  <si>
    <t>1000 М</t>
  </si>
  <si>
    <t>Материалы монтажные</t>
  </si>
  <si>
    <t>Материалы и конструкции ( монтажные )  по ценникам и каталогам</t>
  </si>
  <si>
    <t>ФССЦм</t>
  </si>
  <si>
    <t>38</t>
  </si>
  <si>
    <t>20.1.02.23-1032</t>
  </si>
  <si>
    <t>Вязка спиральная ВС 120/150</t>
  </si>
  <si>
    <t>ФСБЦ-2022 доп.6, 20.1.02.23-1032, приказ Минстроя России от 11.05.2023 г. № 335/пр</t>
  </si>
  <si>
    <t>39</t>
  </si>
  <si>
    <t>25.2.01.07-0001</t>
  </si>
  <si>
    <t>Изолятор штыревой ШФ-20Г</t>
  </si>
  <si>
    <t>ФСБЦ-2022, 25.2.01.07-0001,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</si>
  <si>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</si>
  <si>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</si>
  <si>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</si>
  <si>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40</t>
  </si>
  <si>
    <t>20.2.02.04-0006</t>
  </si>
  <si>
    <t>Колпачки полиэтиленовые К-6</t>
  </si>
  <si>
    <t>ФСБЦ-2022, 20.2.02.04-0006, приказ Минстроя России от 18.05.2022 г. № 378/пр</t>
  </si>
  <si>
    <t>41</t>
  </si>
  <si>
    <t>20.2.10.03-0002</t>
  </si>
  <si>
    <t>Наконечники кабельные медные для электротехнических установок</t>
  </si>
  <si>
    <t>ФСБЦ-2022, 20.2.10.03-0002, приказ Минстроя России от 18.05.2022 г. № 378/пр</t>
  </si>
  <si>
    <t>42</t>
  </si>
  <si>
    <t>Уголок стальной горячекатаный равнополочный 63х63х5</t>
  </si>
  <si>
    <t>43</t>
  </si>
  <si>
    <t>08.3.07.01-0426</t>
  </si>
  <si>
    <t>Прокат стальной горячекатаный полосовой, размеры 50х5 мм</t>
  </si>
  <si>
    <t>ФСБЦ-2022 доп.4, 08.3.07.01-0426, приказ Минстроя России от 27.12.2022 г. № 1133/пр</t>
  </si>
  <si>
    <t>44</t>
  </si>
  <si>
    <t>25.2.02.11-0021</t>
  </si>
  <si>
    <t>Лента крепления нержавеющая, тип F 207,  длина 50 м</t>
  </si>
  <si>
    <t>ФСБЦ-2022, 25.2.02.11-0021, приказ Минстроя России от 18.05.2022 г. № 378/пр</t>
  </si>
  <si>
    <t>45</t>
  </si>
  <si>
    <t>25.2.02.11-0051</t>
  </si>
  <si>
    <t>Скрепы для фиксации на промежуточных опорах, размер 20 мм</t>
  </si>
  <si>
    <t>ФСБЦ-2022, 25.2.02.11-0051, приказ Минстроя России от 18.05.2022 г. № 378/пр</t>
  </si>
  <si>
    <t>Оборудование</t>
  </si>
  <si>
    <t>46</t>
  </si>
  <si>
    <t>Цена поставцика</t>
  </si>
  <si>
    <t>Подстанция КТП 10/0,4 в габаритах 630 кВА</t>
  </si>
  <si>
    <t>[1 850 271 / 1,2] +  4,2% Заг.скл</t>
  </si>
  <si>
    <t>0</t>
  </si>
  <si>
    <t>4,2</t>
  </si>
  <si>
    <t>47</t>
  </si>
  <si>
    <t>Трансформатор ТМГ11-160-6/0,4 кВ, У/Ун-0, Д/Ун-11, У/Zн-11 с зажимами НН</t>
  </si>
  <si>
    <t>[283 319,32 / 1,2] +  4,2% Заг.скл</t>
  </si>
  <si>
    <t>48</t>
  </si>
  <si>
    <t>Разъединитель РЛК КЭ-1б10IV/400-4 УХЛ1 (горячий цинк) с приводом ПР-У01 УХЛ1 и КМЧ (6200мм)</t>
  </si>
  <si>
    <t>КОМП</t>
  </si>
  <si>
    <t>[46 369,14 / 1,2] +  4,2% Заг.скл</t>
  </si>
  <si>
    <t>Пусконаладочные работы</t>
  </si>
  <si>
    <t>49</t>
  </si>
  <si>
    <t>п01-11-024-02</t>
  </si>
  <si>
    <t>Фазировка электрической линии или трансформатора с сетью напряжением: свыше 1 кВ</t>
  </si>
  <si>
    <t>ГЭСНп-2022, п01-11-024-02,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</si>
  <si>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</si>
  <si>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</si>
  <si>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</si>
  <si>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</si>
  <si>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50</t>
  </si>
  <si>
    <t>п01-02-002-02</t>
  </si>
  <si>
    <t>Трансформатор силовой трехфазный масляный двухобмоточный напряжением: до 11 кВ, мощностью до 1,6 МВА</t>
  </si>
  <si>
    <t>ГЭСНп-2022, п01-02-002-02, приказ Минстроя России от 18.05.2022 г. № 378/пр</t>
  </si>
  <si>
    <t>51</t>
  </si>
  <si>
    <t>п01-11-025-01</t>
  </si>
  <si>
    <t>Измерение коэффициента: абсорбции обмоток трансформаторов и электрических машин</t>
  </si>
  <si>
    <t>измерение</t>
  </si>
  <si>
    <t>ГЭСНп-2022, п01-11-025-01, приказ Минстроя России от 18.05.2022 г. № 378/пр</t>
  </si>
  <si>
    <t>52</t>
  </si>
  <si>
    <t>п01-12-010-01</t>
  </si>
  <si>
    <t>Испытание: обмотки трансформатора силового</t>
  </si>
  <si>
    <t>испытание</t>
  </si>
  <si>
    <t>ГЭСНп-2022, п01-12-010-01, приказ Минстроя России от 18.05.2022 г. № 378/пр</t>
  </si>
  <si>
    <t>53</t>
  </si>
  <si>
    <t>п01-03-008-01</t>
  </si>
  <si>
    <t>Выключатель: нагрузки напряжением до 11 кВ</t>
  </si>
  <si>
    <t>ГЭСНп-2022, п01-03-008-01, приказ Минстроя России от 18.05.2022 г. № 378/пр</t>
  </si>
  <si>
    <t>54</t>
  </si>
  <si>
    <t>п01-03-005-01</t>
  </si>
  <si>
    <t>Разъединитель трехполюсный напряжением: до 20 кВ</t>
  </si>
  <si>
    <t>ГЭСНп-2022, п01-03-005-01, приказ Минстроя России от 18.05.2022 г. № 378/пр</t>
  </si>
  <si>
    <t>55</t>
  </si>
  <si>
    <t>п01-12-024-02</t>
  </si>
  <si>
    <t>Испытание трех элементов изолятора опорного многоэлементного или подвесного</t>
  </si>
  <si>
    <t>ГЭСНп-2022, п01-12-024-02, приказ Минстроя России от 18.05.2022 г. № 378/пр</t>
  </si>
  <si>
    <t>56</t>
  </si>
  <si>
    <t>п01-11-026-02</t>
  </si>
  <si>
    <t>Снятие, обработка и анализ: векторных диаграмм</t>
  </si>
  <si>
    <t>ГЭСНп-2022, п01-11-026-02, приказ Минстроя России от 18.05.2022 г. № 378/пр</t>
  </si>
  <si>
    <t>57</t>
  </si>
  <si>
    <t>п01-03-003-01</t>
  </si>
  <si>
    <t>Рубильник, номинальный ток: до 1000 А</t>
  </si>
  <si>
    <t>ГЭСНп-2022, п01-03-003-01, приказ Минстроя России от 18.05.2022 г. № 378/пр</t>
  </si>
  <si>
    <t>58</t>
  </si>
  <si>
    <t>п01-11-013-01</t>
  </si>
  <si>
    <t>Замер полного сопротивления цепи "фаза-нуль"</t>
  </si>
  <si>
    <t>ГЭСНп-2022, п01-11-013-01, приказ Минстроя России от 18.05.2022 г. № 378/пр</t>
  </si>
  <si>
    <t>59</t>
  </si>
  <si>
    <t>п01-02-017-01</t>
  </si>
  <si>
    <t>Трансформатор тока измерительный выносной напряжением: до 1 кВ</t>
  </si>
  <si>
    <t>ГЭСНп-2022, п01-02-017-01, приказ Минстроя России от 18.05.2022 г. № 378/пр</t>
  </si>
  <si>
    <t>60</t>
  </si>
  <si>
    <t>п01-12-010-02</t>
  </si>
  <si>
    <t>Испытание: первичной обмотки трансформатора измерительного</t>
  </si>
  <si>
    <t>ГЭСНп-2022, п01-12-010-02, приказ Минстроя России от 18.05.2022 г. № 378/пр</t>
  </si>
  <si>
    <t>61</t>
  </si>
  <si>
    <t>п01-12-010-03</t>
  </si>
  <si>
    <t>Испытание: вторичной обмотки трансформатора измерительного</t>
  </si>
  <si>
    <t>ГЭСНп-2022, п01-12-010-03, приказ Минстроя России от 18.05.2022 г. № 378/пр</t>
  </si>
  <si>
    <t>62</t>
  </si>
  <si>
    <t>п01-11-010-01</t>
  </si>
  <si>
    <t>Измерение сопротивления растеканию тока: заземлителя</t>
  </si>
  <si>
    <t>ГЭСНп-2022, п01-11-010-01, приказ Минстроя России от 18.05.2022 г. № 378/пр</t>
  </si>
  <si>
    <t>63</t>
  </si>
  <si>
    <t>п01-11-010-02</t>
  </si>
  <si>
    <t>Измерение сопротивления растеканию тока: контура с диагональю до 20 м</t>
  </si>
  <si>
    <t>ГЭСНп-2022, п01-11-010-02, приказ Минстроя России от 18.05.2022 г. № 378/пр</t>
  </si>
  <si>
    <t>64</t>
  </si>
  <si>
    <t>п01-11-011-01</t>
  </si>
  <si>
    <t>Проверка наличия цепи между заземлителями и заземленными элементами</t>
  </si>
  <si>
    <t>100 измерений</t>
  </si>
  <si>
    <t>ГЭСНп-2022, п01-11-011-01, приказ Минстроя России от 18.05.2022 г. № 378/пр</t>
  </si>
  <si>
    <t>65</t>
  </si>
  <si>
    <t>п01-11-012-01</t>
  </si>
  <si>
    <t>Определение удельного сопротивления грунта</t>
  </si>
  <si>
    <t>ГЭСНп-2022, п01-11-012-01,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</si>
  <si>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</si>
  <si>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</si>
  <si>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</si>
  <si>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</si>
  <si>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</si>
  <si>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</si>
  <si>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</si>
  <si>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</si>
  <si>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</si>
  <si>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</si>
  <si>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</si>
  <si>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</si>
  <si>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</si>
  <si>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</si>
  <si>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</si>
  <si>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</si>
  <si>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</si>
  <si>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</si>
  <si>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</si>
  <si>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</si>
  <si>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</si>
  <si>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</si>
  <si>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</si>
  <si>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</si>
  <si>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</si>
  <si>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</si>
  <si>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</si>
  <si>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</si>
  <si>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</si>
  <si>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</si>
  <si>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</si>
  <si>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</si>
  <si>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</si>
  <si>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</si>
  <si>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</si>
  <si>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</si>
  <si>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</si>
  <si>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</si>
  <si>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</si>
  <si>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</si>
  <si>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</si>
  <si>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</si>
  <si>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</si>
  <si>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</si>
  <si>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</si>
  <si>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</si>
  <si>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</si>
  <si>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</si>
  <si>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АВТО_ДРГ</t>
  </si>
  <si>
    <t>{вкл} - НР и СП по п.021.0 "Автомобильные дороги" (раздел 2 нормы 27-02-010-01:07)  {выкл} - НР и СП по п.021.1 Устройство покрытий дорожек, тротуаров, мостовых и площадок и прочее (раздел 2 нормы 27-02-010-01:07)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</si>
  <si>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</si>
  <si>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</si>
  <si>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</si>
  <si>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</si>
  <si>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</si>
  <si>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</si>
  <si>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</si>
  <si>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</si>
  <si>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</si>
  <si>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</si>
  <si>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</si>
  <si>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</si>
  <si>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</si>
  <si>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</si>
  <si>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</si>
  <si>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</si>
  <si>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</si>
  <si>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</si>
  <si>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</si>
  <si>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</si>
  <si>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</si>
  <si>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</si>
  <si>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</si>
  <si>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</si>
  <si>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</si>
  <si>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</si>
  <si>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4 квартал 2024 г</t>
  </si>
  <si>
    <t>Сборник индексов</t>
  </si>
  <si>
    <t>Москва ФСНБ</t>
  </si>
  <si>
    <t>Письмо Минстроя России   «О расчете индексов изменения сметной стоимости строительства по группам однородных строительных ресурсов на IV квартал 2024 года,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</si>
  <si>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</si>
  <si>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25 ноября 2024 г. № 69894-ИФ/09</t>
  </si>
  <si>
    <t>Данные в ФГИС ЦС отсутсвуют</t>
  </si>
  <si>
    <t>_OBSM_</t>
  </si>
  <si>
    <t>1-100-32</t>
  </si>
  <si>
    <t>Затраты труда рабочих (Средний разряд - 3,2)</t>
  </si>
  <si>
    <t>чел.-ч.</t>
  </si>
  <si>
    <t>4-100-00</t>
  </si>
  <si>
    <t>Затраты труда машинистов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</si>
  <si>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</si>
  <si>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</si>
  <si>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</si>
  <si>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маш.-ч</t>
  </si>
  <si>
    <t>4-100-060</t>
  </si>
  <si>
    <t>91.05.06-007</t>
  </si>
  <si>
    <t>ФСЭМ-2022, 91.05.06-007, приказ Минстроя России от 18.05.2022 г. № 378/пр</t>
  </si>
  <si>
    <t>Краны на гусеничном ходу, грузоподъемность 25 т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</si>
  <si>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</si>
  <si>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</si>
  <si>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</si>
  <si>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</si>
  <si>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04.1.02.05</t>
  </si>
  <si>
    <t>Смеси бетонные тяжелого бетона</t>
  </si>
  <si>
    <t>*1,01)</t>
  </si>
  <si>
    <t>04.3.01.09-0014</t>
  </si>
  <si>
    <t>ФСБЦ-2022, 04.3.01.09-0014, приказ Минстроя России от 18.05.2022 г. № 378/пр</t>
  </si>
  <si>
    <t>Раствор готовый кладочный, цементный, М100</t>
  </si>
  <si>
    <t>05.2.02.01</t>
  </si>
  <si>
    <t>Блоки бетонные для стен подвалов</t>
  </si>
  <si>
    <t>1-100-34</t>
  </si>
  <si>
    <t>Затраты труда рабочих (Средний разряд - 3,4)</t>
  </si>
  <si>
    <t>91.05.02-005</t>
  </si>
  <si>
    <t>ФСЭМ-2022, 91.05.02-005, приказ Минстроя России от 18.05.2022 г. № 378/пр</t>
  </si>
  <si>
    <t>Краны козловые, грузоподъемность 32 т</t>
  </si>
  <si>
    <t>91.17.04-042</t>
  </si>
  <si>
    <t>ФСЭМ-2022, 91.17.04-042, приказ Минстроя России от 18.05.2022 г. № 378/пр</t>
  </si>
  <si>
    <t>Аппараты для газовой сварки и резки</t>
  </si>
  <si>
    <t>91.17.04-171</t>
  </si>
  <si>
    <t>ФСЭМ-2022, 91.17.04-171, приказ Минстроя России от 18.05.2022 г. № 378/пр</t>
  </si>
  <si>
    <t>Аппараты сварочные для ручной дуговой сварки, сварочный ток до 500 А</t>
  </si>
  <si>
    <t>01.3.02.08-0001</t>
  </si>
  <si>
    <t>ФСБЦ-2022 доп.3, 01.3.02.08-0001, приказ Минстроя России от 26.10.2022 г. № 905/пр</t>
  </si>
  <si>
    <t>Кислород газообразный технический</t>
  </si>
  <si>
    <t>01.3.02.09-0022</t>
  </si>
  <si>
    <t>ФСБЦ-2022 доп.3, 01.3.02.09-0022, приказ Минстроя России от 26.10.2022 г. № 905/пр</t>
  </si>
  <si>
    <t>Пропан-бутан смесь техническая</t>
  </si>
  <si>
    <t>кг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</si>
  <si>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</si>
  <si>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</si>
  <si>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</si>
  <si>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</si>
  <si>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</si>
  <si>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</si>
  <si>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01.7.15.06-0111</t>
  </si>
  <si>
    <t>ФСБЦ-2022, 01.7.15.06-0111, приказ Минстроя России от 18.05.2022 г. № 378/пр</t>
  </si>
  <si>
    <t>Гвозди строительные</t>
  </si>
  <si>
    <t>01.7.20.08-0071</t>
  </si>
  <si>
    <t>ФСБЦ-2022, 01.7.20.08-0071, приказ Минстроя России от 18.05.2022 г. № 378/пр</t>
  </si>
  <si>
    <t>Канат пеньковый тросовой свивки, пропитанный, диаметр 26 мм</t>
  </si>
  <si>
    <t>07.2.07.12</t>
  </si>
  <si>
    <t>Конструкции стальные</t>
  </si>
  <si>
    <t>07.2.07.12-0011</t>
  </si>
  <si>
    <t>ФСБЦ-2022, 07.2.07.12-0011, приказ Минстроя России от 18.05.2022 г. № 378/пр</t>
  </si>
  <si>
    <t>Металлоконструкции зданий и сооружений с преобладанием гнутых профилей и круглых труб</t>
  </si>
  <si>
    <t>08.2.02.11-0007</t>
  </si>
  <si>
    <t>ФСБЦ-2022, 08.2.02.11-0007, приказ Минстроя России от 18.05.2022 г. № 378/пр</t>
  </si>
  <si>
    <t>Канат двойной свивки ТК, конструкции 6х19(1+6+12)+1 о.с., марка В, из оцинкованной по группе Ж проволоки, маркировочная группа 1570-1770 Н/мм2, диаметр 5,5 мм</t>
  </si>
  <si>
    <t>10 м</t>
  </si>
  <si>
    <t>08.3.03.06-0002</t>
  </si>
  <si>
    <t>ФСБЦ-2022, 08.3.03.06-0002, приказ Минстроя России от 18.05.2022 г. № 378/пр</t>
  </si>
  <si>
    <t>Проволока горячекатаная в мотках, диаметр 6,3-6,5 мм</t>
  </si>
  <si>
    <t>08.3.11.01-1106</t>
  </si>
  <si>
    <t>ФСБЦ-2022, 08.3.11.01-1106, приказ Минстроя России от 18.05.2022 г. № 378/пр</t>
  </si>
  <si>
    <t>Швеллеры стальные горячекатаные, марки стали Ст3пс, Ст3сп, № 40У, № 40П</t>
  </si>
  <si>
    <t>11.1.03.01-0061</t>
  </si>
  <si>
    <t>ФСБЦ-2022 доп.2, 11.1.03.01-0061, приказ Минстроя России от 26.08.2022 г. № 703/пр</t>
  </si>
  <si>
    <t>Бруски обрезные хвойных пород (ель, сосна), естественной влажности, длина 2-6,5 м, ширина 20-90 мм, толщина 20-90 мм, сорт I</t>
  </si>
  <si>
    <t>14.4.01.01-0003</t>
  </si>
  <si>
    <t>ФСБЦ-2022, 14.4.01.01-0003, приказ Минстроя России от 18.05.2022 г. № 378/пр</t>
  </si>
  <si>
    <t>Грунтовка ГФ-021</t>
  </si>
  <si>
    <t>14.5.09.07-0030</t>
  </si>
  <si>
    <t>ФСБЦ-2022, 14.5.09.07-0030, приказ Минстроя России от 18.05.2022 г. № 378/пр</t>
  </si>
  <si>
    <t>Растворитель Р-4</t>
  </si>
  <si>
    <t>1-100-20</t>
  </si>
  <si>
    <t>Затраты труда рабочих (Средний разряд - 2)</t>
  </si>
  <si>
    <t>1-100-22</t>
  </si>
  <si>
    <t>Затраты труда рабочих (Средний разряд - 2,2)</t>
  </si>
  <si>
    <t>91.06.05-057</t>
  </si>
  <si>
    <t>ФСЭМ-2022, 91.06.05-057, приказ Минстроя России от 18.05.2022 г. № 378/пр</t>
  </si>
  <si>
    <t>Погрузчики одноковшовые универсальные фронтальные пневмоколесные, номинальная вместимость основного ковша 1,5 м3, грузоподъемность 3 т</t>
  </si>
  <si>
    <t>4-100-050</t>
  </si>
  <si>
    <t>91.08.09-024</t>
  </si>
  <si>
    <t>ФСЭМ-2022 доп.4, 91.08.09-024, приказ Минстроя России от 27.12.2022 г. № 1133/пр</t>
  </si>
  <si>
    <t>Трамбовки пневматические при работе от стационарного компрессора</t>
  </si>
  <si>
    <t>01.7.03.01-0001</t>
  </si>
  <si>
    <t>ФСБЦ-2022, 01.7.03.01-0001, приказ Минстроя России от 18.05.2022 г. № 378/пр</t>
  </si>
  <si>
    <t>Вода</t>
  </si>
  <si>
    <t>02.3.01.02</t>
  </si>
  <si>
    <t>Песок для строительных работ природный</t>
  </si>
  <si>
    <t>02.2.05.04</t>
  </si>
  <si>
    <t>Щебень</t>
  </si>
  <si>
    <t>1-100-39</t>
  </si>
  <si>
    <t>Затраты труда рабочих (Средний разряд - 3,9)</t>
  </si>
  <si>
    <t>91.08.04-021</t>
  </si>
  <si>
    <t>ФСЭМ-2022, 91.08.04-021, приказ Минстроя России от 18.05.2022 г. № 378/пр</t>
  </si>
  <si>
    <t>Котлы битумные передвижные электрические с центробежной мешалкой, объем загрузочной емкости 400 л</t>
  </si>
  <si>
    <t>01.2.01.02</t>
  </si>
  <si>
    <t>Битум</t>
  </si>
  <si>
    <t>01.2.03.03</t>
  </si>
  <si>
    <t>Мастика</t>
  </si>
  <si>
    <t>01.3.01.03-0002</t>
  </si>
  <si>
    <t>ФСБЦ-2022 доп.8, 01.3.01.03-0002, приказ Минстроя России от 14.11.2023 г. № 817/пр</t>
  </si>
  <si>
    <t>Керосин для технических целей</t>
  </si>
  <si>
    <t>12.1.02.15</t>
  </si>
  <si>
    <t>Материалы гидроизоляционные рулонные</t>
  </si>
  <si>
    <t>м2</t>
  </si>
  <si>
    <t>91.06.03-060</t>
  </si>
  <si>
    <t>ФСЭМ-2022, 91.06.03-060, приказ Минстроя России от 18.05.2022 г. № 378/пр</t>
  </si>
  <si>
    <t>Лебедки электрические тяговым усилием до 5,79 кН (0,59 т)</t>
  </si>
  <si>
    <t>91.06.05-011</t>
  </si>
  <si>
    <t>ФСЭМ-2022, 91.06.05-011, приказ Минстроя России от 18.05.2022 г. № 378/пр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</si>
  <si>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</si>
  <si>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01.7.20.08-0051</t>
  </si>
  <si>
    <t>ФСБЦ-2022 доп.8, 01.7.20.08-0051, приказ Минстроя России от 14.11.2023 г. № 817/пр</t>
  </si>
  <si>
    <t>Ветошь хлопчатобумажная цветная</t>
  </si>
  <si>
    <t>14.5.09.11-0102</t>
  </si>
  <si>
    <t>ФСБЦ-2022, 14.5.09.11-0102, приказ Минстроя России от 18.05.2022 г. № 378/пр</t>
  </si>
  <si>
    <t>Уайт-спирит</t>
  </si>
  <si>
    <t>1-100-47</t>
  </si>
  <si>
    <t>Затраты труда рабочих (Средний разряд - 4,7)</t>
  </si>
  <si>
    <t>91.21.01-012</t>
  </si>
  <si>
    <t>ФСЭМ-2022, 91.21.01-012, приказ Минстроя России от 18.05.2022 г. № 378/пр</t>
  </si>
  <si>
    <t>Агрегаты окрасочные высокого давления для окраски поверхностей конструкций, мощность 1 кВт</t>
  </si>
  <si>
    <t>14.5.09.02-0002</t>
  </si>
  <si>
    <t>ФСБЦ-2022, 14.5.09.02-0002, приказ Минстроя России от 18.05.2022 г. № 378/пр</t>
  </si>
  <si>
    <t>Ксилол нефтяной, марка А</t>
  </si>
  <si>
    <t>1-100-35</t>
  </si>
  <si>
    <t>Затраты труда рабочих (Средний разряд - 3,5)</t>
  </si>
  <si>
    <t>14.4.04.08-0001</t>
  </si>
  <si>
    <t>ФСБЦ-2022, 14.4.04.08-0001, приказ Минстроя России от 18.05.2022 г. № 378/пр</t>
  </si>
  <si>
    <t>Эмаль ПФ-115, цветная, белый</t>
  </si>
  <si>
    <t>1-100-12</t>
  </si>
  <si>
    <t>Затраты труда рабочих (Средний разряд - 1,2)</t>
  </si>
  <si>
    <t>91.14.03-001</t>
  </si>
  <si>
    <t>ФСЭМ-2022, 91.14.03-001, приказ Минстроя России от 18.05.2022 г. № 378/пр</t>
  </si>
  <si>
    <t>Автомобили-самосвалы, грузоподъемность до 7 т</t>
  </si>
  <si>
    <t>1-100-11</t>
  </si>
  <si>
    <t>Затраты труда рабочих (Средний разряд - 1,1)</t>
  </si>
  <si>
    <t>999-9900</t>
  </si>
  <si>
    <t>Строительный мусор</t>
  </si>
  <si>
    <t>1-100-40</t>
  </si>
  <si>
    <t>Затраты труда рабочих (Средний разряд - 4)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</si>
  <si>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</si>
  <si>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</si>
  <si>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</si>
  <si>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01.1.01.09-0024</t>
  </si>
  <si>
    <t>ФСБЦ-2022, 01.1.01.09-0024, приказ Минстроя России от 18.05.2022 г. № 378/пр</t>
  </si>
  <si>
    <t>Шнур асбестовый общего назначения ШАОН, диаметр 3-6 мм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</si>
  <si>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</si>
  <si>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</si>
  <si>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</si>
  <si>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14.4.04.12-0008</t>
  </si>
  <si>
    <t>ФСБЦ-2022, 14.4.04.12-0008, приказ Минстроя России от 18.05.2022 г. № 378/пр</t>
  </si>
  <si>
    <t>Эмаль ЭП-140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</si>
  <si>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</si>
  <si>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</si>
  <si>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</si>
  <si>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01.7.15.10-0053</t>
  </si>
  <si>
    <t>ФСБЦ-2022, 01.7.15.10-0053, приказ Минстроя России от 18.05.2022 г. № 378/пр</t>
  </si>
  <si>
    <t>Скобы металлические</t>
  </si>
  <si>
    <t>25.1.01.04-0012</t>
  </si>
  <si>
    <t>ФСБЦ-2022, 25.1.01.04-0012, приказ Минстроя России от 18.05.2022 г. № 378/пр</t>
  </si>
  <si>
    <t>Шпала из древесины хвойных пород, непропитанная, для железных дорог узкой колеи, тип II, длина 1200 мм</t>
  </si>
  <si>
    <t>1-100-43</t>
  </si>
  <si>
    <t>Затраты труда рабочих (Средний разряд - 4,3)</t>
  </si>
  <si>
    <t>01.3.01.06-0038</t>
  </si>
  <si>
    <t>ФСБЦ-2022, 01.3.01.06-0038, приказ Минстроя России от 18.05.2022 г. № 378/пр</t>
  </si>
  <si>
    <t>Смазка защитная электросетевая</t>
  </si>
  <si>
    <t>01.3.01.06-0051</t>
  </si>
  <si>
    <t>ФСБЦ-2022, 01.3.01.06-0051, приказ Минстроя России от 18.05.2022 г. № 378/пр</t>
  </si>
  <si>
    <t>Смазка солидол жировой Ж</t>
  </si>
  <si>
    <t>07.2.07.13</t>
  </si>
  <si>
    <t>Хомуты стальные</t>
  </si>
  <si>
    <t>08.3.04.02</t>
  </si>
  <si>
    <t>Сталь стержневая диаметром до 10 мм</t>
  </si>
  <si>
    <t>14.4.03.03-0102</t>
  </si>
  <si>
    <t>ФСБЦ-2022 доп.4, 14.4.03.03-0102, приказ Минстроя России от 27.12.2022 г. № 1133/пр</t>
  </si>
  <si>
    <t>Лак битумный БТ-577</t>
  </si>
  <si>
    <t>21.2.01.02</t>
  </si>
  <si>
    <t>Провода неизолированные для воздушных линий электропередач</t>
  </si>
  <si>
    <t>22.2.01.04</t>
  </si>
  <si>
    <t>Изоляторы линейные штыревые фарфоровые</t>
  </si>
  <si>
    <t>22.2.02.03</t>
  </si>
  <si>
    <t>Детали крепления стальные</t>
  </si>
  <si>
    <t>2-100-02</t>
  </si>
  <si>
    <t>Рабочий 2 разряда</t>
  </si>
  <si>
    <t>чел.-ч</t>
  </si>
  <si>
    <t>2-100-03</t>
  </si>
  <si>
    <t>Рабочий 3 разряда</t>
  </si>
  <si>
    <t>2-100-04</t>
  </si>
  <si>
    <t>Рабочий 4 разряда</t>
  </si>
  <si>
    <t>2-100-05</t>
  </si>
  <si>
    <t>Рабочий 5 разряда</t>
  </si>
  <si>
    <t>91.06.03-055</t>
  </si>
  <si>
    <t>ФСЭМ-2022, 91.06.03-055, приказ Минстроя России от 18.05.2022 г. № 378/пр</t>
  </si>
  <si>
    <t>Лебедки электрические тяговым усилием 19,62 кН (2 т)</t>
  </si>
  <si>
    <t>91.06.06-011</t>
  </si>
  <si>
    <t>ФСЭМ-2022, 91.06.06-011, приказ Минстроя России от 18.05.2022 г. № 378/пр</t>
  </si>
  <si>
    <t>Автогидроподъемники, высота подъема 12 м</t>
  </si>
  <si>
    <t>91.17.04-544</t>
  </si>
  <si>
    <t>ФСЭМ-2022, 91.17.04-544, приказ Минстроя России от 18.05.2022 г. № 378/пр</t>
  </si>
  <si>
    <t>Генераторы бензиновые портативные, мощность до 6 кВт</t>
  </si>
  <si>
    <t>1-100-38</t>
  </si>
  <si>
    <t>Затраты труда рабочих (Средний разряд - 3,8)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</si>
  <si>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</si>
  <si>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</si>
  <si>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</si>
  <si>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</si>
  <si>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</si>
  <si>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</si>
  <si>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</si>
  <si>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</si>
  <si>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</si>
  <si>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20.5.04.03-0002</t>
  </si>
  <si>
    <t>ФСБЦ-2022, 20.5.04.03-0002, приказ Минстроя России от 18.05.2022 г. № 378/пр</t>
  </si>
  <si>
    <t>Зажимы наборные проходные ЗН24-4П25</t>
  </si>
  <si>
    <t>1-100-42</t>
  </si>
  <si>
    <t>Затраты труда рабочих (Средний разряд - 4,2)</t>
  </si>
  <si>
    <t>91.21.19-031</t>
  </si>
  <si>
    <t>ФСЭМ-2022, 91.21.19-031, приказ Минстроя России от 18.05.2022 г. № 378/пр</t>
  </si>
  <si>
    <t>Станки сверлильные</t>
  </si>
  <si>
    <t>01.3.01.02-0002</t>
  </si>
  <si>
    <t>ФСБЦ-2022 доп.8, 01.3.01.02-0002, приказ Минстроя России от 14.11.2023 г. № 817/пр</t>
  </si>
  <si>
    <t>Вазелин технический</t>
  </si>
  <si>
    <t>01.7.02.09-0002</t>
  </si>
  <si>
    <t>ФСБЦ-2022, 01.7.02.09-0002, приказ Минстроя России от 18.05.2022 г. № 378/пр</t>
  </si>
  <si>
    <t>Шпагат бумажный, диаметр 2,5 мм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</si>
  <si>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</si>
  <si>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</si>
  <si>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</si>
  <si>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</si>
  <si>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01.7.06.05-0041</t>
  </si>
  <si>
    <t>ФСБЦ-2022, 01.7.06.05-0041, приказ Минстроя России от 18.05.2022 г. № 378/пр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</si>
  <si>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</si>
  <si>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</si>
  <si>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10.1.02.04-0001</t>
  </si>
  <si>
    <t>ФСБЦ-2022 доп.6, 10.1.02.04-0001, приказ Минстроя России от 11.05.2023 г. № 335/пр</t>
  </si>
  <si>
    <t>Прутки круглого сечения из алюминиевых сплавов марок АД0, АД1, АД, АД31, АД33, АД35, АВ, диаметр 5,0 мм</t>
  </si>
  <si>
    <t>14.4.03.17-0101</t>
  </si>
  <si>
    <t>ФСБЦ-2022, 14.4.03.17-0101, приказ Минстроя России от 18.05.2022 г. № 378/пр</t>
  </si>
  <si>
    <t>Лак КФ-965</t>
  </si>
  <si>
    <t>20.5.03.03-0001</t>
  </si>
  <si>
    <t>ФСБЦ-2022, 20.5.03.03-0001, приказ Минстроя России от 18.05.2022 г. № 378/пр</t>
  </si>
  <si>
    <t>Шина электротехническая алюминиевая, марка АД31, ширина 20 мм, толщина 3 мм</t>
  </si>
  <si>
    <t>2-100-06</t>
  </si>
  <si>
    <t>Рабочий 6 разряда</t>
  </si>
  <si>
    <t>3-200-03</t>
  </si>
  <si>
    <t>Инженер III категории</t>
  </si>
  <si>
    <t>3-100-02</t>
  </si>
  <si>
    <t>Техник II категории</t>
  </si>
  <si>
    <t>3-200-01</t>
  </si>
  <si>
    <t>Инженер I категории</t>
  </si>
  <si>
    <t>3-200-02</t>
  </si>
  <si>
    <t>Инженер II категории</t>
  </si>
  <si>
    <t>20.1.01.01</t>
  </si>
  <si>
    <t>Комплект креплений для анкерных опор</t>
  </si>
  <si>
    <t>20.1.01.12</t>
  </si>
  <si>
    <t>Комплект креплений для промежуточных опор</t>
  </si>
  <si>
    <t>21.2.01.01</t>
  </si>
  <si>
    <t>Провода самонесущие изолированные</t>
  </si>
  <si>
    <t>*1,01</t>
  </si>
  <si>
    <t>421/пр_2020_п.120_абз.2</t>
  </si>
  <si>
    <t>Методика 421/пр (О.П.)</t>
  </si>
  <si>
    <t>571/пр_2022_п.83_т.2_стр.1_стб.3</t>
  </si>
  <si>
    <t>Разборка и (или) демонтаж строительных конструкций, систем и сетей инженерно-технического обеспечения, в том числе их элементов: сборных бетонных и железобетонных строительных конструкций</t>
  </si>
  <si>
    <t>Методика применения сметных норм 571/пр (О.П.)</t>
  </si>
  <si>
    <t>571/пр_2022_п.83_т.2_стр.4_стб.3</t>
  </si>
  <si>
    <t>Разборка и (или) демонтаж строительных конструкций, систем и сетей инженерно-технического обеспечения, в том числе их элементов: металлических, металлокомпозитных, композитных конструкций</t>
  </si>
  <si>
    <t>Прил. 1.12, п.3.184.</t>
  </si>
  <si>
    <t>Разработка и обратная засыпка вручную сильно налипающего на инструменты грунта 2 группы</t>
  </si>
  <si>
    <t>Тех. часть сб1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</si>
  <si>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</si>
  <si>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</si>
  <si>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t>
  </si>
  <si>
    <t>Установка (сборка) лабораторного оборудования, производственного и хозяйственного инвентаря, на монтаж которых отсутствуют сметные нормы: если соответствующее лабораторное оборудование, производственный и хозяйственный инвентарь поставляются в собранном виде, при этом не требуются предварительная разборка и последующая сборка при монтаже, а также подключение к системам инженерно-технического обеспечения</t>
  </si>
  <si>
    <t>Поправка: 421/пр_2020_п.120_абз.2 Наименование: Установка (сборка) лабораторного оборудования, производственного и хозяйственного инвентаря, на монтаж которых отсутствуют сметные нормы: если соответствующее лабораторное оборудование, производственный и хозяйственный инвентарь поставляются в собранном виде, при этом не требуются предварительная разборка и последующая сборка при монтаже, а также подключение к системам инженерно-технического обеспечения Поправка: 571/пр_2022_п.83_т.2_стр.1_стб.3 Наименование: Разборка и (или) демонтаж строительных конструкций, систем и сетей инженерно-технического обеспечения, в том числе их элементов: сборных бетонных и железобетонных строительных конструкций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</si>
  <si>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</si>
  <si>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</si>
  <si>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</si>
  <si>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</si>
  <si>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</si>
  <si>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</si>
  <si>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</si>
  <si>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</si>
  <si>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</si>
  <si>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</si>
  <si>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</si>
  <si>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</si>
  <si>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</si>
  <si>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</si>
  <si>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</si>
  <si>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</si>
  <si>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</si>
  <si>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</si>
  <si>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</si>
  <si>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</si>
  <si>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</si>
  <si>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</si>
  <si>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</si>
  <si>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</si>
  <si>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</si>
  <si>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</si>
  <si>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</si>
  <si>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</si>
  <si>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</si>
  <si>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</si>
  <si>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</si>
  <si>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</si>
  <si>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</si>
  <si>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</si>
  <si>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</si>
  <si>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</si>
  <si>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</si>
  <si>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</si>
  <si>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</si>
  <si>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</si>
  <si>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декабрь 2024 года</t>
  </si>
  <si>
    <t>Раздел: Строительная работы</t>
  </si>
  <si>
    <t>ГЭСН 07-05-001-02</t>
  </si>
  <si>
    <t>М *1,01</t>
  </si>
  <si>
    <t>ЭМ *0,8; М *0; ЗТ *0,8; ЗТм *0,8</t>
  </si>
  <si>
    <t>Результирующие коэффициенты: 
ЭМ 0,8;
М 1,01)*0;
ЗТ 0,8;
ЗТм 0,8</t>
  </si>
  <si>
    <t>ОТ (ЗТ)</t>
  </si>
  <si>
    <t>ЭМ</t>
  </si>
  <si>
    <t>ОТм(ЗТм) Средний разряд машинистов 6</t>
  </si>
  <si>
    <t>ОТм(ЗТм) Средний разряд машинистов 4</t>
  </si>
  <si>
    <t>ОТм(ЗТм)</t>
  </si>
  <si>
    <t>М</t>
  </si>
  <si>
    <t>Итого прямые затраты</t>
  </si>
  <si>
    <t>ФОТ</t>
  </si>
  <si>
    <t>НР Бетонные и железобетонные сборные конструкции и работы в строительстве жилых, общественных и административно-бытовых зданий промышленных предприятий</t>
  </si>
  <si>
    <t>СП Бетонные и железобетонные сборные конструкции и работы в строительстве жилых, общественных и административно-бытовых зданий промышленных предприятий</t>
  </si>
  <si>
    <t>Всего по позиции</t>
  </si>
  <si>
    <t>=</t>
  </si>
  <si>
    <t>ГЭСН 07-05-001-03</t>
  </si>
  <si>
    <t>ГЭСН 09-03-014-01</t>
  </si>
  <si>
    <t>ЭМ *0,7; М *0; ЗТ *0,7; ЗТм *0,7</t>
  </si>
  <si>
    <t>НР Строительные металлические конструкции</t>
  </si>
  <si>
    <t>СП Строительные металлические конструкции</t>
  </si>
  <si>
    <t>ГЭСН 47-01-001-02</t>
  </si>
  <si>
    <t>НР Озеленение. Защитные лесонасаждения</t>
  </si>
  <si>
    <t>СП Озеленение. Защитные лесонасаждения</t>
  </si>
  <si>
    <t>ГЭСН 01-02-057-02</t>
  </si>
  <si>
    <t>ЗТ *1,15</t>
  </si>
  <si>
    <t>НР Земляные работы, выполняемые: ручным способом</t>
  </si>
  <si>
    <t>СП Земляные работы, выполняемые: ручным способом</t>
  </si>
  <si>
    <t>ГЭСН 08-01-002-01</t>
  </si>
  <si>
    <t>ОТм(ЗТм) Средний разряд машинистов 5</t>
  </si>
  <si>
    <t>6.1</t>
  </si>
  <si>
    <t>НР Конструкции из кирпича и блоков</t>
  </si>
  <si>
    <t>СП Конструкции из кирпича и блоков</t>
  </si>
  <si>
    <t>ГЭСН 08-01-002-02</t>
  </si>
  <si>
    <t>7.1</t>
  </si>
  <si>
    <t>8.1</t>
  </si>
  <si>
    <t>9.1</t>
  </si>
  <si>
    <t>10.1</t>
  </si>
  <si>
    <t>ГЭСН 08-01-003-05</t>
  </si>
  <si>
    <t>ГЭСН 13-07-001-02</t>
  </si>
  <si>
    <t>НР Защита строительных конструкций и оборудования от коррозии</t>
  </si>
  <si>
    <t>СП Защита строительных конструкций и оборудования от коррозии</t>
  </si>
  <si>
    <t>ГЭСН 13-03-002-04</t>
  </si>
  <si>
    <t>ГЭСН 13-03-004-26</t>
  </si>
  <si>
    <t>ГЭСНр 51-01-006-01</t>
  </si>
  <si>
    <t>НР Земляные работы, выполняемые ручным способом</t>
  </si>
  <si>
    <t>СП Земляные работы, выполняемые ручным способом</t>
  </si>
  <si>
    <t>ГЭСНр 69-01-009-01</t>
  </si>
  <si>
    <t>НР Прочие ремонтно-строительные работы</t>
  </si>
  <si>
    <t>СП Прочие ремонтно-строительные работы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</si>
  <si>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</si>
  <si>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</si>
  <si>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</si>
  <si>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</si>
  <si>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</si>
  <si>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</si>
  <si>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</si>
  <si>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</si>
  <si>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</si>
  <si>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</si>
  <si>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</si>
  <si>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</si>
  <si>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</si>
  <si>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</si>
  <si>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</si>
  <si>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</si>
  <si>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</si>
  <si>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</si>
  <si>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</si>
  <si>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</si>
  <si>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</si>
  <si>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</si>
  <si>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</si>
  <si>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</si>
  <si>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</si>
  <si>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</si>
  <si>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Демонтажные работы</t>
  </si>
  <si>
    <t>ГЭСНм 08-01-025-01</t>
  </si>
  <si>
    <t>ЭМ *0,3; М *0; ЗТ *0,3; ЗТм *0,3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</si>
  <si>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</si>
  <si>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</si>
  <si>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ГЭСНм 08-01-062-01</t>
  </si>
  <si>
    <t>ГЭСН 33-04-030-03</t>
  </si>
  <si>
    <t>НР Линии электропередачи</t>
  </si>
  <si>
    <t>СП Линии электропередачи</t>
  </si>
  <si>
    <t>ГЭСН 33-04-020-01</t>
  </si>
  <si>
    <t>ГЭСНм 08-01-052-02</t>
  </si>
  <si>
    <t>ГЭСНм 08-02-471-02</t>
  </si>
  <si>
    <t>ГЭСНм 08-02-472-07</t>
  </si>
  <si>
    <t>Раздел: Монтажные работы</t>
  </si>
  <si>
    <t>ГЭСНм 08-01-025-02</t>
  </si>
  <si>
    <t>ГЭСНм 08-01-082-01</t>
  </si>
  <si>
    <t>ГЭСНм 08-03-494-03</t>
  </si>
  <si>
    <t>ГЭСНм 08-02-472-09</t>
  </si>
  <si>
    <t>Раздел: Материалы не учтенные ценником</t>
  </si>
  <si>
    <t>Раздел: Оборудование</t>
  </si>
  <si>
    <r>
      <t>Подстанция КТП 10/0,4 в габаритах 630 кВА</t>
    </r>
    <r>
      <rPr>
        <i/>
        <sz val="11"/>
        <rFont val="Arial"/>
        <family val="2"/>
        <charset val="204"/>
      </rPr>
      <t xml:space="preserve">
1 606 651,99 = [1 850 271 / 1,2] +  4,2% Заг.скл</t>
    </r>
  </si>
  <si>
    <r>
      <t>Трансформатор ТМГ11-160-6/0,4 кВ, У/Ун-0, Д/Ун-11, У/Zн-11 с зажимами НН</t>
    </r>
    <r>
      <rPr>
        <i/>
        <sz val="11"/>
        <rFont val="Arial"/>
        <family val="2"/>
        <charset val="204"/>
      </rPr>
      <t xml:space="preserve">
246 015,61 = [283 319,32 / 1,2] +  4,2% Заг.скл</t>
    </r>
  </si>
  <si>
    <r>
      <t>Разъединитель РЛК КЭ-1б10IV/400-4 УХЛ1 (горячий цинк) с приводом ПР-У01 УХЛ1 и КМЧ (6200мм)</t>
    </r>
    <r>
      <rPr>
        <i/>
        <sz val="11"/>
        <rFont val="Arial"/>
        <family val="2"/>
        <charset val="204"/>
      </rPr>
      <t xml:space="preserve">
40 263,87 = [46 369,14 / 1,2] +  4,2% Заг.скл</t>
    </r>
  </si>
  <si>
    <t>Раздел: Пусконаладочные работы</t>
  </si>
  <si>
    <t>ГЭСНп 01-11-024-02</t>
  </si>
  <si>
    <t>НР Пусконаладочные работы</t>
  </si>
  <si>
    <t>СП Пусконаладочные работы</t>
  </si>
  <si>
    <t>ГЭСНп 01-02-002-02</t>
  </si>
  <si>
    <t>ГЭСНп 01-11-025-01</t>
  </si>
  <si>
    <t>ГЭСНп 01-12-010-01</t>
  </si>
  <si>
    <t>ГЭСНп 01-03-008-01</t>
  </si>
  <si>
    <t>ГЭСНп 01-03-005-01</t>
  </si>
  <si>
    <t>ГЭСНп 01-12-024-02</t>
  </si>
  <si>
    <t>ГЭСНп 01-11-026-02</t>
  </si>
  <si>
    <t>ГЭСНп 01-03-003-01</t>
  </si>
  <si>
    <t>ГЭСНп 01-11-013-01</t>
  </si>
  <si>
    <t>ГЭСНп 01-02-017-01</t>
  </si>
  <si>
    <t>ГЭСНп 01-12-010-02</t>
  </si>
  <si>
    <t>ГЭСНп 01-12-010-03</t>
  </si>
  <si>
    <t>ГЭСНп 01-11-010-01</t>
  </si>
  <si>
    <t>ГЭСНп 01-11-010-02</t>
  </si>
  <si>
    <t>ГЭСНп 01-11-011-01</t>
  </si>
  <si>
    <t>ГЭСНп 01-11-012-01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</si>
  <si>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</si>
  <si>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</si>
  <si>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</si>
  <si>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</si>
  <si>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</si>
  <si>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</si>
  <si>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</si>
  <si>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</si>
  <si>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</si>
  <si>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</si>
  <si>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</si>
  <si>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</si>
  <si>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</si>
  <si>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</si>
  <si>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</si>
  <si>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</si>
  <si>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</si>
  <si>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</si>
  <si>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</si>
  <si>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</si>
  <si>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</si>
  <si>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</si>
  <si>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</si>
  <si>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___________________2025 г</t>
  </si>
  <si>
    <t>ЛОКАЛЬНАЯ СМЕТА № 1</t>
  </si>
  <si>
    <t>Реконструкция КТП-1406 по адресу: г.Москва, поселение Щаповское, с.Ознобишино Инв. № 43313362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</si>
</sst>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9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1" fillId="0" borderId="0" xfId="0" quotePrefix="1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horizontal="right" vertical="top"/>
    </xf>
    <xf numFmtId="0" fontId="23" fillId="0" borderId="0" xfId="0" applyFont="1" applyAlignment="1">
      <alignment vertical="top" wrapText="1"/>
    </xf>
    <xf numFmtId="166" fontId="21" fillId="0" borderId="0" xfId="0" applyNumberFormat="1" applyFont="1" applyAlignment="1">
      <alignment horizontal="right" vertical="top"/>
    </xf>
    <xf numFmtId="165" fontId="25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165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25" fillId="0" borderId="0" xfId="0" applyFont="1" applyAlignment="1">
      <alignment horizontal="left" vertical="top" wrapText="1"/>
    </xf>
    <xf numFmtId="0" fontId="21" fillId="0" borderId="0" xfId="0" applyFont="1" applyAlignment="1">
      <alignment vertical="top"/>
    </xf>
    <xf numFmtId="165" fontId="25" fillId="0" borderId="2" xfId="0" applyNumberFormat="1" applyFont="1" applyBorder="1" applyAlignment="1">
      <alignment horizontal="right" vertical="top"/>
    </xf>
    <xf numFmtId="0" fontId="21" fillId="0" borderId="1" xfId="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/>
    </xf>
    <xf numFmtId="166" fontId="21" fillId="0" borderId="1" xfId="0" applyNumberFormat="1" applyFont="1" applyBorder="1" applyAlignment="1">
      <alignment horizontal="right" vertical="top"/>
    </xf>
    <xf numFmtId="165" fontId="25" fillId="0" borderId="1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5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5" fillId="0" borderId="0" xfId="0" applyFont="1" applyAlignment="1">
      <alignment horizontal="right" vertical="top"/>
    </xf>
    <xf numFmtId="0" fontId="0" fillId="0" borderId="1" xfId="0" applyBorder="1"/>
    <xf numFmtId="0" fontId="25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right" vertical="top"/>
    </xf>
    <xf numFmtId="165" fontId="12" fillId="0" borderId="0" xfId="0" applyNumberFormat="1" applyFont="1"/>
    <xf numFmtId="0" fontId="18" fillId="0" borderId="1" xfId="0" applyFont="1" applyBorder="1" applyAlignment="1">
      <alignment horizontal="left"/>
    </xf>
    <xf numFmtId="0" fontId="27" fillId="0" borderId="0" xfId="1" applyFont="1" applyAlignment="1">
      <alignment horizontal="left" wrapText="1"/>
    </xf>
    <xf numFmtId="0" fontId="28" fillId="0" borderId="0" xfId="0" applyFont="1" applyAlignment="1">
      <alignment vertical="top"/>
    </xf>
    <xf numFmtId="165" fontId="27" fillId="0" borderId="0" xfId="0" applyNumberFormat="1" applyFont="1" applyAlignment="1">
      <alignment vertical="top"/>
    </xf>
    <xf numFmtId="4" fontId="27" fillId="0" borderId="0" xfId="1" applyNumberFormat="1" applyFont="1" applyAlignment="1">
      <alignment horizontal="left" wrapText="1"/>
    </xf>
    <xf numFmtId="9" fontId="27" fillId="0" borderId="0" xfId="1" applyNumberFormat="1" applyFont="1" applyAlignment="1">
      <alignment horizontal="left" wrapText="1"/>
    </xf>
    <xf numFmtId="167" fontId="27" fillId="0" borderId="0" xfId="0" applyNumberFormat="1" applyFont="1" applyAlignment="1">
      <alignment vertical="top"/>
    </xf>
    <xf numFmtId="165" fontId="27" fillId="0" borderId="0" xfId="0" applyNumberFormat="1" applyFont="1" applyAlignment="1">
      <alignment horizontal="right"/>
    </xf>
    <xf numFmtId="0" fontId="15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wrapText="1"/>
    </xf>
    <xf numFmtId="0" fontId="17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wrapText="1"/>
    </xf>
    <xf numFmtId="0" fontId="27" fillId="0" borderId="0" xfId="2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23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165" fontId="25" fillId="0" borderId="0" xfId="0" applyNumberFormat="1" applyFont="1" applyAlignment="1">
      <alignment horizontal="left" vertical="top"/>
    </xf>
    <xf numFmtId="165" fontId="25" fillId="0" borderId="2" xfId="0" applyNumberFormat="1" applyFont="1" applyBorder="1" applyAlignment="1">
      <alignment horizontal="right" vertical="top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0" fontId="25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26" fillId="0" borderId="2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7" fillId="0" borderId="0" xfId="1" applyFont="1" applyAlignment="1">
      <alignment horizontal="left" wrapText="1"/>
    </xf>
  </cellXfs>
  <cellStyles count="3">
    <cellStyle name="Обычный" xfId="0" builtinId="0"/>
    <cellStyle name="Обычный 2 2" xfId="2"/>
    <cellStyle name="Обычный 2 2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1211"/>
  <sheetViews>
    <sheetView tabSelected="1" topLeftCell="A19" zoomScaleNormal="100" workbookViewId="0">
      <selection activeCell="A29" sqref="A29:L29"/>
    </sheetView>
  </sheetViews>
  <sheetFormatPr defaultRowHeight="12.75" x14ac:dyDescent="0.2"/>
  <cols>
    <col min="1" max="1" width="5.7109375" customWidth="1"/>
    <col min="2" max="2" width="20.7109375" customWidth="1"/>
    <col min="3" max="3" width="51" style="80" customWidth="1"/>
    <col min="4" max="4" width="10.7109375" customWidth="1"/>
    <col min="5" max="12" width="15.7109375" customWidth="1"/>
    <col min="15" max="92" width="0" hidden="1" customWidth="1"/>
    <col min="93" max="93" width="108.7109375" hidden="1" customWidth="1"/>
    <col min="94" max="101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87" t="s">
        <v>789</v>
      </c>
      <c r="B2" s="87"/>
      <c r="C2" s="87"/>
      <c r="D2" s="87"/>
      <c r="E2" s="87"/>
      <c r="F2" s="88" t="s">
        <v>826</v>
      </c>
      <c r="G2" s="88"/>
      <c r="H2" s="88"/>
      <c r="I2" s="88"/>
      <c r="J2" s="88"/>
      <c r="K2" s="88"/>
      <c r="L2" s="88"/>
    </row>
    <row r="3" spans="1:93" ht="12.75" customHeight="1" x14ac:dyDescent="0.2">
      <c r="A3" s="13"/>
      <c r="B3" s="13"/>
      <c r="C3" s="10"/>
      <c r="D3" s="13"/>
      <c r="E3" s="13"/>
      <c r="F3" s="14"/>
      <c r="G3" s="14"/>
      <c r="H3" s="14"/>
      <c r="I3" s="14"/>
      <c r="J3" s="14"/>
      <c r="K3" s="14"/>
      <c r="L3" s="14"/>
    </row>
    <row r="4" spans="1:93" ht="12.75" customHeight="1" x14ac:dyDescent="0.2">
      <c r="A4" s="87" t="s">
        <v>790</v>
      </c>
      <c r="B4" s="87"/>
      <c r="C4" s="87"/>
      <c r="D4" s="87"/>
      <c r="E4" s="87"/>
      <c r="F4" s="88" t="str">
        <f>IF(Source!CQ12 &lt;&gt; "", Source!CQ12, "")</f>
        <v>Приказ Минстроя России от 30.12.2021 г. № 1046/пр</v>
      </c>
      <c r="G4" s="88"/>
      <c r="H4" s="88"/>
      <c r="I4" s="88"/>
      <c r="J4" s="88"/>
      <c r="K4" s="88"/>
      <c r="L4" s="88"/>
    </row>
    <row r="5" spans="1:93" ht="12.75" customHeight="1" x14ac:dyDescent="0.2">
      <c r="A5" s="13"/>
      <c r="B5" s="13"/>
      <c r="C5" s="10"/>
      <c r="D5" s="13"/>
      <c r="E5" s="13"/>
      <c r="F5" s="14"/>
      <c r="G5" s="14"/>
      <c r="H5" s="14"/>
      <c r="I5" s="14"/>
      <c r="J5" s="14"/>
      <c r="K5" s="14"/>
      <c r="L5" s="14"/>
    </row>
    <row r="6" spans="1:93" ht="76.5" x14ac:dyDescent="0.2">
      <c r="A6" s="87" t="s">
        <v>791</v>
      </c>
      <c r="B6" s="87"/>
      <c r="C6" s="87"/>
      <c r="D6" s="87"/>
      <c r="E6" s="87"/>
      <c r="F6" s="88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  <c r="G6" s="88"/>
      <c r="H6" s="88"/>
      <c r="I6" s="88"/>
      <c r="J6" s="88"/>
      <c r="K6" s="88"/>
      <c r="L6" s="88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</row>
    <row r="7" spans="1:93" ht="12.75" customHeight="1" x14ac:dyDescent="0.2">
      <c r="A7" s="13"/>
      <c r="B7" s="13"/>
      <c r="C7" s="10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87" t="s">
        <v>792</v>
      </c>
      <c r="B8" s="87"/>
      <c r="C8" s="87"/>
      <c r="D8" s="87"/>
      <c r="E8" s="87"/>
      <c r="F8" s="88" t="s">
        <v>504</v>
      </c>
      <c r="G8" s="88"/>
      <c r="H8" s="88"/>
      <c r="I8" s="88"/>
      <c r="J8" s="88"/>
      <c r="K8" s="88"/>
      <c r="L8" s="88"/>
    </row>
    <row r="9" spans="1:93" ht="12.75" customHeight="1" x14ac:dyDescent="0.2">
      <c r="A9" s="13"/>
      <c r="B9" s="13"/>
      <c r="C9" s="10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87" t="s">
        <v>793</v>
      </c>
      <c r="B10" s="87"/>
      <c r="C10" s="87"/>
      <c r="D10" s="87"/>
      <c r="E10" s="87"/>
      <c r="F10" s="88" t="s">
        <v>505</v>
      </c>
      <c r="G10" s="88"/>
      <c r="H10" s="88"/>
      <c r="I10" s="88"/>
      <c r="J10" s="88"/>
      <c r="K10" s="88"/>
      <c r="L10" s="88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87" t="s">
        <v>794</v>
      </c>
      <c r="B12" s="87"/>
      <c r="C12" s="87"/>
      <c r="D12" s="87"/>
      <c r="E12" s="87"/>
      <c r="F12" s="88" t="s">
        <v>827</v>
      </c>
      <c r="G12" s="88"/>
      <c r="H12" s="88"/>
      <c r="I12" s="88"/>
      <c r="J12" s="88"/>
      <c r="K12" s="88"/>
      <c r="L12" s="88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87" t="s">
        <v>795</v>
      </c>
      <c r="B14" s="87"/>
      <c r="C14" s="87"/>
      <c r="D14" s="87"/>
      <c r="E14" s="87"/>
      <c r="F14" s="88" t="str">
        <f>IF(Source!CZ12 &lt;&gt; "", Source!CZ12, "")</f>
        <v/>
      </c>
      <c r="G14" s="88"/>
      <c r="H14" s="88"/>
      <c r="I14" s="88"/>
      <c r="J14" s="88"/>
      <c r="K14" s="88"/>
      <c r="L14" s="88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87" t="s">
        <v>796</v>
      </c>
      <c r="B16" s="87"/>
      <c r="C16" s="87"/>
      <c r="D16" s="87"/>
      <c r="E16" s="87"/>
      <c r="F16" s="88" t="str">
        <f>IF(Source!DA12 &lt;&gt; "", Source!DA12, "")</f>
        <v/>
      </c>
      <c r="G16" s="88"/>
      <c r="H16" s="88"/>
      <c r="I16" s="88"/>
      <c r="J16" s="88"/>
      <c r="K16" s="88"/>
      <c r="L16" s="88"/>
    </row>
    <row r="17" spans="1:12" ht="12.75" customHeight="1" x14ac:dyDescent="0.2">
      <c r="A17" s="17"/>
      <c r="B17" s="17"/>
      <c r="C17" s="81"/>
      <c r="D17" s="17"/>
      <c r="E17" s="17"/>
      <c r="F17" s="18"/>
      <c r="G17" s="18"/>
      <c r="H17" s="18"/>
      <c r="I17" s="18"/>
      <c r="J17" s="18"/>
      <c r="K17" s="18"/>
      <c r="L17" s="18"/>
    </row>
    <row r="18" spans="1:12" ht="15.75" x14ac:dyDescent="0.25">
      <c r="A18" s="76"/>
      <c r="B18" s="92" t="s">
        <v>970</v>
      </c>
      <c r="C18" s="92"/>
      <c r="D18" s="77"/>
      <c r="E18" s="78"/>
      <c r="F18" s="78"/>
      <c r="G18" s="17"/>
      <c r="H18" s="17"/>
      <c r="I18" s="17"/>
      <c r="J18" s="17"/>
      <c r="K18" s="17"/>
      <c r="L18" s="17"/>
    </row>
    <row r="19" spans="1:12" ht="15.75" x14ac:dyDescent="0.25">
      <c r="A19" s="76"/>
      <c r="B19" s="77"/>
      <c r="C19" s="77"/>
      <c r="D19" s="77"/>
      <c r="E19" s="78"/>
      <c r="F19" s="78"/>
      <c r="G19" s="17"/>
      <c r="H19" s="17"/>
      <c r="I19" s="17"/>
      <c r="J19" s="17"/>
      <c r="K19" s="17"/>
      <c r="L19" s="17"/>
    </row>
    <row r="20" spans="1:12" ht="15.75" x14ac:dyDescent="0.25">
      <c r="A20" s="76"/>
      <c r="B20" s="92" t="s">
        <v>971</v>
      </c>
      <c r="C20" s="92"/>
      <c r="D20" s="92"/>
      <c r="E20" s="92"/>
      <c r="F20" s="92"/>
      <c r="G20" s="17"/>
      <c r="H20" s="17"/>
      <c r="I20" s="17"/>
      <c r="J20" s="17"/>
      <c r="K20" s="17"/>
      <c r="L20" s="17"/>
    </row>
    <row r="21" spans="1:12" ht="15.75" x14ac:dyDescent="0.25">
      <c r="A21" s="76"/>
      <c r="B21" s="77"/>
      <c r="C21" s="77"/>
      <c r="D21" s="77"/>
      <c r="E21" s="78"/>
      <c r="F21" s="78"/>
      <c r="G21" s="17"/>
      <c r="H21" s="17"/>
      <c r="I21" s="17"/>
      <c r="J21" s="17"/>
      <c r="K21" s="17"/>
      <c r="L21" s="17"/>
    </row>
    <row r="22" spans="1:12" ht="15.75" x14ac:dyDescent="0.25">
      <c r="A22" s="76"/>
      <c r="B22" s="92" t="s">
        <v>972</v>
      </c>
      <c r="C22" s="92"/>
      <c r="D22" s="92"/>
      <c r="E22" s="92"/>
      <c r="F22" s="78"/>
      <c r="G22" s="17"/>
      <c r="H22" s="17"/>
      <c r="I22" s="17"/>
      <c r="J22" s="17"/>
      <c r="K22" s="17"/>
      <c r="L22" s="17"/>
    </row>
    <row r="23" spans="1:12" ht="15.75" x14ac:dyDescent="0.25">
      <c r="A23" s="76"/>
      <c r="B23" s="77"/>
      <c r="C23" s="77"/>
      <c r="D23" s="77"/>
      <c r="E23" s="78"/>
      <c r="F23" s="78"/>
      <c r="G23" s="17"/>
      <c r="H23" s="17"/>
      <c r="I23" s="17"/>
      <c r="J23" s="17"/>
      <c r="K23" s="17"/>
      <c r="L23" s="17"/>
    </row>
    <row r="24" spans="1:12" ht="15.75" x14ac:dyDescent="0.25">
      <c r="A24" s="76"/>
      <c r="B24" s="92" t="s">
        <v>973</v>
      </c>
      <c r="C24" s="92"/>
      <c r="D24" s="77"/>
      <c r="E24" s="77"/>
      <c r="F24" s="78"/>
      <c r="G24" s="17"/>
      <c r="H24" s="17"/>
      <c r="I24" s="17"/>
      <c r="J24" s="17"/>
      <c r="K24" s="17"/>
      <c r="L24" s="17"/>
    </row>
    <row r="25" spans="1:12" ht="14.25" x14ac:dyDescent="0.2">
      <c r="A25" s="19"/>
      <c r="B25" s="19"/>
      <c r="C25" s="79"/>
      <c r="D25" s="19"/>
      <c r="E25" s="19"/>
      <c r="F25" s="20"/>
      <c r="G25" s="20"/>
      <c r="H25" s="20"/>
      <c r="I25" s="20"/>
      <c r="J25" s="20"/>
      <c r="K25" s="20"/>
      <c r="L25" s="20"/>
    </row>
    <row r="26" spans="1:12" ht="15.75" x14ac:dyDescent="0.25">
      <c r="A26" s="93" t="s">
        <v>974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  <row r="27" spans="1:12" ht="12.75" customHeight="1" x14ac:dyDescent="0.25">
      <c r="A27" s="75"/>
      <c r="B27" s="75"/>
      <c r="C27" s="82"/>
      <c r="D27" s="75"/>
      <c r="E27" s="75"/>
      <c r="F27" s="75"/>
      <c r="G27" s="75"/>
      <c r="H27" s="75"/>
      <c r="I27" s="75"/>
      <c r="J27" s="75"/>
      <c r="K27" s="75"/>
      <c r="L27" s="75"/>
    </row>
    <row r="28" spans="1:12" ht="18" customHeight="1" x14ac:dyDescent="0.25">
      <c r="A28" s="89" t="s">
        <v>975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</row>
    <row r="29" spans="1:12" ht="14.25" customHeight="1" x14ac:dyDescent="0.2">
      <c r="A29" s="90" t="s">
        <v>797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</row>
    <row r="30" spans="1:12" ht="14.25" customHeight="1" x14ac:dyDescent="0.2">
      <c r="A30" s="19"/>
      <c r="B30" s="19"/>
      <c r="C30" s="79"/>
      <c r="D30" s="19"/>
      <c r="E30" s="19"/>
      <c r="F30" s="19"/>
      <c r="G30" s="19"/>
      <c r="H30" s="19"/>
      <c r="I30" s="19"/>
      <c r="J30" s="19"/>
      <c r="K30" s="19"/>
      <c r="L30" s="19"/>
    </row>
    <row r="31" spans="1:12" ht="14.25" customHeight="1" x14ac:dyDescent="0.2">
      <c r="A31" s="19"/>
      <c r="B31" s="19"/>
      <c r="C31" s="79"/>
      <c r="D31" s="19"/>
      <c r="E31" s="19"/>
      <c r="F31" s="19"/>
      <c r="G31" s="19"/>
      <c r="H31" s="19"/>
      <c r="I31" s="19"/>
      <c r="J31" s="19"/>
      <c r="K31" s="19"/>
      <c r="L31" s="19"/>
    </row>
    <row r="32" spans="1:12" ht="12.75" customHeight="1" x14ac:dyDescent="0.2">
      <c r="A32" s="12" t="s">
        <v>798</v>
      </c>
      <c r="B32" s="12"/>
      <c r="C32" s="83" t="s">
        <v>828</v>
      </c>
      <c r="D32" s="12" t="s">
        <v>799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84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800</v>
      </c>
      <c r="B34" s="12"/>
      <c r="C34" s="91"/>
      <c r="D34" s="91"/>
      <c r="E34" s="91"/>
      <c r="F34" s="91"/>
      <c r="G34" s="91"/>
      <c r="H34" s="91"/>
      <c r="I34" s="91"/>
      <c r="J34" s="91"/>
      <c r="K34" s="91"/>
      <c r="L34" s="91"/>
    </row>
    <row r="35" spans="1:12" ht="12.75" customHeight="1" x14ac:dyDescent="0.2">
      <c r="A35" s="22"/>
      <c r="B35" s="23"/>
      <c r="C35" s="90" t="s">
        <v>801</v>
      </c>
      <c r="D35" s="90"/>
      <c r="E35" s="90"/>
      <c r="F35" s="90"/>
      <c r="G35" s="90"/>
      <c r="H35" s="90"/>
      <c r="I35" s="90"/>
      <c r="J35" s="90"/>
      <c r="K35" s="90"/>
      <c r="L35" s="90"/>
    </row>
    <row r="36" spans="1:12" ht="14.25" customHeight="1" x14ac:dyDescent="0.2">
      <c r="A36" s="19"/>
      <c r="B36" s="19"/>
      <c r="C36" s="79"/>
      <c r="D36" s="19"/>
      <c r="E36" s="19"/>
      <c r="F36" s="19"/>
      <c r="G36" s="19"/>
      <c r="H36" s="19"/>
      <c r="I36" s="19"/>
      <c r="J36" s="19"/>
      <c r="K36" s="19"/>
      <c r="L36" s="19"/>
    </row>
    <row r="37" spans="1:12" ht="14.25" customHeight="1" x14ac:dyDescent="0.2">
      <c r="A37" s="24" t="s">
        <v>829</v>
      </c>
      <c r="B37" s="19"/>
      <c r="C37" s="79"/>
      <c r="D37" s="25"/>
      <c r="E37" s="19"/>
      <c r="F37" s="19"/>
      <c r="G37" s="19"/>
      <c r="H37" s="19"/>
      <c r="I37" s="19"/>
      <c r="J37" s="19"/>
      <c r="K37" s="19"/>
      <c r="L37" s="19"/>
    </row>
    <row r="38" spans="1:12" ht="14.25" customHeight="1" x14ac:dyDescent="0.2">
      <c r="A38" s="19"/>
      <c r="B38" s="19"/>
      <c r="C38" s="79"/>
      <c r="D38" s="19"/>
      <c r="E38" s="19"/>
      <c r="F38" s="19"/>
      <c r="G38" s="19"/>
      <c r="H38" s="19"/>
      <c r="I38" s="19"/>
      <c r="J38" s="19"/>
      <c r="K38" s="19"/>
      <c r="L38" s="19"/>
    </row>
    <row r="39" spans="1:12" ht="14.25" customHeight="1" x14ac:dyDescent="0.2">
      <c r="A39" s="24" t="s">
        <v>802</v>
      </c>
      <c r="B39" s="19"/>
      <c r="C39" s="108">
        <f>L1204/1000</f>
        <v>3181.9401360000002</v>
      </c>
      <c r="D39" s="109"/>
      <c r="E39" s="12" t="s">
        <v>803</v>
      </c>
      <c r="F39" s="17"/>
      <c r="G39" s="17"/>
      <c r="H39" s="17"/>
      <c r="I39" s="17"/>
      <c r="J39" s="17"/>
      <c r="K39" s="17"/>
      <c r="L39" s="19"/>
    </row>
    <row r="40" spans="1:12" ht="14.25" customHeight="1" x14ac:dyDescent="0.2">
      <c r="A40" s="24"/>
      <c r="B40" s="19"/>
      <c r="C40" s="85"/>
      <c r="D40" s="26"/>
      <c r="E40" s="12"/>
      <c r="F40" s="17"/>
      <c r="G40" s="12" t="s">
        <v>804</v>
      </c>
      <c r="H40" s="19"/>
      <c r="I40" s="12"/>
      <c r="J40" s="12"/>
      <c r="K40" s="66">
        <f>ROUND(SUM(AR53:AR1202)/1000, 2)</f>
        <v>201.83</v>
      </c>
      <c r="L40" s="12" t="s">
        <v>803</v>
      </c>
    </row>
    <row r="41" spans="1:12" ht="14.25" customHeight="1" x14ac:dyDescent="0.2">
      <c r="A41" s="19"/>
      <c r="B41" s="27" t="s">
        <v>805</v>
      </c>
      <c r="C41" s="85"/>
      <c r="D41" s="19"/>
      <c r="E41" s="12"/>
      <c r="F41" s="17"/>
      <c r="G41" s="12" t="s">
        <v>806</v>
      </c>
      <c r="H41" s="19"/>
      <c r="I41" s="12"/>
      <c r="J41" s="12"/>
      <c r="K41" s="66">
        <f>ROUND(SUM(AT53:AT1202)/1000, 2)</f>
        <v>15.49</v>
      </c>
      <c r="L41" s="12" t="s">
        <v>803</v>
      </c>
    </row>
    <row r="42" spans="1:12" ht="14.25" customHeight="1" x14ac:dyDescent="0.2">
      <c r="A42" s="19"/>
      <c r="B42" s="24" t="s">
        <v>807</v>
      </c>
      <c r="C42" s="108">
        <f>L1200/1000-C44</f>
        <v>686.93490999999972</v>
      </c>
      <c r="D42" s="109"/>
      <c r="E42" s="12" t="s">
        <v>803</v>
      </c>
      <c r="F42" s="17"/>
      <c r="G42" s="12" t="s">
        <v>808</v>
      </c>
      <c r="H42" s="19"/>
      <c r="I42" s="12"/>
      <c r="J42" s="26"/>
      <c r="K42" s="66">
        <f>Source!F360</f>
        <v>372.91467840000001</v>
      </c>
      <c r="L42" s="12" t="s">
        <v>509</v>
      </c>
    </row>
    <row r="43" spans="1:12" ht="14.25" customHeight="1" x14ac:dyDescent="0.2">
      <c r="A43" s="19"/>
      <c r="B43" s="24" t="s">
        <v>809</v>
      </c>
      <c r="C43" s="108">
        <f>ROUND((Source!F356)/1000, 2)</f>
        <v>211.39</v>
      </c>
      <c r="D43" s="109"/>
      <c r="E43" s="12" t="s">
        <v>803</v>
      </c>
      <c r="F43" s="17"/>
      <c r="G43" s="12" t="s">
        <v>810</v>
      </c>
      <c r="H43" s="19"/>
      <c r="I43" s="12"/>
      <c r="J43" s="28"/>
      <c r="K43" s="66">
        <f>Source!F361</f>
        <v>25.910122000000001</v>
      </c>
      <c r="L43" s="12" t="s">
        <v>509</v>
      </c>
    </row>
    <row r="44" spans="1:12" ht="14.25" customHeight="1" x14ac:dyDescent="0.2">
      <c r="A44" s="19"/>
      <c r="B44" s="24" t="s">
        <v>811</v>
      </c>
      <c r="C44" s="108">
        <f>L904/1000</f>
        <v>1892.9314700000002</v>
      </c>
      <c r="D44" s="109"/>
      <c r="E44" s="12" t="s">
        <v>803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19"/>
      <c r="B45" s="24" t="s">
        <v>812</v>
      </c>
      <c r="C45" s="108">
        <f>ROUND((Source!F357)/1000, 2)</f>
        <v>214.32</v>
      </c>
      <c r="D45" s="109"/>
      <c r="E45" s="12" t="s">
        <v>803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29"/>
      <c r="B46" s="29"/>
      <c r="C46" s="67"/>
      <c r="D46" s="29"/>
      <c r="E46" s="29"/>
      <c r="F46" s="29"/>
      <c r="G46" s="29"/>
      <c r="H46" s="29"/>
      <c r="I46" s="29"/>
      <c r="J46" s="29"/>
      <c r="K46" s="29"/>
      <c r="L46" s="29"/>
    </row>
    <row r="47" spans="1:12" ht="12.75" customHeight="1" x14ac:dyDescent="0.2">
      <c r="A47" s="94" t="s">
        <v>813</v>
      </c>
      <c r="B47" s="94" t="s">
        <v>814</v>
      </c>
      <c r="C47" s="94" t="s">
        <v>815</v>
      </c>
      <c r="D47" s="94" t="s">
        <v>816</v>
      </c>
      <c r="E47" s="97" t="s">
        <v>817</v>
      </c>
      <c r="F47" s="98"/>
      <c r="G47" s="99"/>
      <c r="H47" s="97" t="s">
        <v>818</v>
      </c>
      <c r="I47" s="98"/>
      <c r="J47" s="98"/>
      <c r="K47" s="98"/>
      <c r="L47" s="99"/>
    </row>
    <row r="48" spans="1:12" ht="12.75" customHeight="1" x14ac:dyDescent="0.2">
      <c r="A48" s="95"/>
      <c r="B48" s="95"/>
      <c r="C48" s="95"/>
      <c r="D48" s="95"/>
      <c r="E48" s="100"/>
      <c r="F48" s="101"/>
      <c r="G48" s="102"/>
      <c r="H48" s="106"/>
      <c r="I48" s="101"/>
      <c r="J48" s="101"/>
      <c r="K48" s="101"/>
      <c r="L48" s="102"/>
    </row>
    <row r="49" spans="1:83" ht="12.75" customHeight="1" x14ac:dyDescent="0.2">
      <c r="A49" s="95"/>
      <c r="B49" s="95"/>
      <c r="C49" s="95"/>
      <c r="D49" s="95"/>
      <c r="E49" s="100"/>
      <c r="F49" s="101"/>
      <c r="G49" s="102"/>
      <c r="H49" s="106"/>
      <c r="I49" s="101"/>
      <c r="J49" s="101"/>
      <c r="K49" s="101"/>
      <c r="L49" s="102"/>
    </row>
    <row r="50" spans="1:83" ht="12.75" customHeight="1" x14ac:dyDescent="0.2">
      <c r="A50" s="95"/>
      <c r="B50" s="95"/>
      <c r="C50" s="95"/>
      <c r="D50" s="95"/>
      <c r="E50" s="103"/>
      <c r="F50" s="104"/>
      <c r="G50" s="105"/>
      <c r="H50" s="107"/>
      <c r="I50" s="104"/>
      <c r="J50" s="104"/>
      <c r="K50" s="104"/>
      <c r="L50" s="105"/>
    </row>
    <row r="51" spans="1:83" ht="51" customHeight="1" x14ac:dyDescent="0.2">
      <c r="A51" s="96"/>
      <c r="B51" s="96"/>
      <c r="C51" s="96"/>
      <c r="D51" s="96"/>
      <c r="E51" s="30" t="s">
        <v>819</v>
      </c>
      <c r="F51" s="30" t="s">
        <v>820</v>
      </c>
      <c r="G51" s="31" t="s">
        <v>821</v>
      </c>
      <c r="H51" s="30" t="s">
        <v>822</v>
      </c>
      <c r="I51" s="30" t="s">
        <v>823</v>
      </c>
      <c r="J51" s="30" t="s">
        <v>824</v>
      </c>
      <c r="K51" s="30" t="s">
        <v>820</v>
      </c>
      <c r="L51" s="30" t="s">
        <v>825</v>
      </c>
    </row>
    <row r="52" spans="1:83" ht="14.25" customHeight="1" x14ac:dyDescent="0.2">
      <c r="A52" s="32">
        <v>1</v>
      </c>
      <c r="B52" s="32">
        <v>2</v>
      </c>
      <c r="C52" s="32">
        <v>3</v>
      </c>
      <c r="D52" s="32">
        <v>4</v>
      </c>
      <c r="E52" s="32">
        <v>5</v>
      </c>
      <c r="F52" s="32">
        <v>6</v>
      </c>
      <c r="G52" s="32">
        <v>7</v>
      </c>
      <c r="H52" s="32">
        <v>8</v>
      </c>
      <c r="I52" s="32">
        <v>9</v>
      </c>
      <c r="J52" s="32">
        <v>10</v>
      </c>
      <c r="K52" s="34">
        <v>11</v>
      </c>
      <c r="L52" s="34">
        <v>12</v>
      </c>
    </row>
    <row r="54" spans="1:83" ht="16.5" x14ac:dyDescent="0.2">
      <c r="A54" s="114" t="s">
        <v>830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</row>
    <row r="55" spans="1:83" ht="14.25" x14ac:dyDescent="0.2">
      <c r="A55" s="35" t="s">
        <v>73</v>
      </c>
      <c r="B55" s="37" t="s">
        <v>831</v>
      </c>
      <c r="C55" s="37" t="str">
        <f>Source!G62</f>
        <v>Демонтаж блоков стен подвалов массой: до 1 т</v>
      </c>
      <c r="D55" s="38" t="str">
        <f>Source!H62</f>
        <v>100 ШТ</v>
      </c>
      <c r="E55" s="39">
        <f>Source!K62</f>
        <v>0.01</v>
      </c>
      <c r="F55" s="39"/>
      <c r="G55" s="39">
        <f>Source!I62</f>
        <v>0.01</v>
      </c>
      <c r="H55" s="41"/>
      <c r="I55" s="40"/>
      <c r="J55" s="41"/>
      <c r="K55" s="40"/>
      <c r="L55" s="41"/>
    </row>
    <row r="56" spans="1:83" ht="25.5" x14ac:dyDescent="0.2">
      <c r="B56" s="42" t="s">
        <v>774</v>
      </c>
      <c r="C56" s="110" t="s">
        <v>832</v>
      </c>
      <c r="D56" s="110"/>
      <c r="E56" s="110"/>
      <c r="F56" s="110"/>
      <c r="G56" s="110"/>
      <c r="H56" s="110"/>
      <c r="I56" s="110"/>
      <c r="J56" s="110"/>
      <c r="K56" s="110"/>
      <c r="L56" s="110"/>
    </row>
    <row r="57" spans="1:83" ht="25.5" x14ac:dyDescent="0.2">
      <c r="B57" s="42" t="s">
        <v>776</v>
      </c>
      <c r="C57" s="110" t="s">
        <v>833</v>
      </c>
      <c r="D57" s="110"/>
      <c r="E57" s="110"/>
      <c r="F57" s="110"/>
      <c r="G57" s="110"/>
      <c r="H57" s="110"/>
      <c r="I57" s="110"/>
      <c r="J57" s="110"/>
      <c r="K57" s="110"/>
      <c r="L57" s="110"/>
    </row>
    <row r="58" spans="1:83" x14ac:dyDescent="0.2">
      <c r="C58" s="111" t="s">
        <v>834</v>
      </c>
      <c r="D58" s="111"/>
      <c r="E58" s="111"/>
      <c r="F58" s="111"/>
    </row>
    <row r="59" spans="1:83" x14ac:dyDescent="0.2">
      <c r="C59" s="58" t="str">
        <f>"Объем: "&amp;Source!I62&amp;"=1/"&amp;"100"</f>
        <v>Объем: 0,01=1/100</v>
      </c>
    </row>
    <row r="60" spans="1:83" ht="15" x14ac:dyDescent="0.2">
      <c r="A60" s="36"/>
      <c r="B60" s="39">
        <v>1</v>
      </c>
      <c r="C60" s="36" t="s">
        <v>835</v>
      </c>
      <c r="D60" s="38" t="s">
        <v>509</v>
      </c>
      <c r="E60" s="43"/>
      <c r="F60" s="39"/>
      <c r="G60" s="43">
        <f>Source!U62</f>
        <v>0.53439999999999999</v>
      </c>
      <c r="H60" s="39"/>
      <c r="I60" s="39"/>
      <c r="J60" s="39"/>
      <c r="K60" s="39"/>
      <c r="L60" s="44">
        <f>SUM(L61:L61)-SUMIF(CE61:CE61, 1, L61:L61)</f>
        <v>238.67</v>
      </c>
    </row>
    <row r="61" spans="1:83" ht="14.25" x14ac:dyDescent="0.2">
      <c r="A61" s="37"/>
      <c r="B61" s="37" t="s">
        <v>507</v>
      </c>
      <c r="C61" s="37" t="s">
        <v>508</v>
      </c>
      <c r="D61" s="38" t="s">
        <v>509</v>
      </c>
      <c r="E61" s="39">
        <v>66.8</v>
      </c>
      <c r="F61" s="39">
        <f>ROUND(0.8,7)</f>
        <v>0.8</v>
      </c>
      <c r="G61" s="39">
        <f>SmtRes!CX1</f>
        <v>0.53439999999999999</v>
      </c>
      <c r="H61" s="41"/>
      <c r="I61" s="40"/>
      <c r="J61" s="41">
        <f>SmtRes!CZ1</f>
        <v>446.62</v>
      </c>
      <c r="K61" s="40"/>
      <c r="L61" s="41">
        <f>SmtRes!DI1</f>
        <v>238.67</v>
      </c>
    </row>
    <row r="62" spans="1:83" ht="15" x14ac:dyDescent="0.2">
      <c r="A62" s="36"/>
      <c r="B62" s="39">
        <v>2</v>
      </c>
      <c r="C62" s="36" t="s">
        <v>836</v>
      </c>
      <c r="D62" s="38"/>
      <c r="E62" s="43"/>
      <c r="F62" s="39"/>
      <c r="G62" s="43"/>
      <c r="H62" s="39"/>
      <c r="I62" s="39"/>
      <c r="J62" s="39"/>
      <c r="K62" s="39"/>
      <c r="L62" s="44">
        <f>SUM(L63:L69)-SUMIF(CE63:CE69, 1, L63:L69)</f>
        <v>386.43999999999994</v>
      </c>
    </row>
    <row r="63" spans="1:83" ht="15" x14ac:dyDescent="0.2">
      <c r="A63" s="36"/>
      <c r="B63" s="39"/>
      <c r="C63" s="36" t="s">
        <v>839</v>
      </c>
      <c r="D63" s="38" t="s">
        <v>509</v>
      </c>
      <c r="E63" s="43"/>
      <c r="F63" s="39"/>
      <c r="G63" s="43">
        <f>Source!V62</f>
        <v>0.21648000000000001</v>
      </c>
      <c r="H63" s="39"/>
      <c r="I63" s="39"/>
      <c r="J63" s="39"/>
      <c r="K63" s="39"/>
      <c r="L63" s="44">
        <f>SUMIF(CE64:CE69, 1, L64:L69)</f>
        <v>135.56</v>
      </c>
      <c r="CE63">
        <v>1</v>
      </c>
    </row>
    <row r="64" spans="1:83" ht="28.5" x14ac:dyDescent="0.2">
      <c r="A64" s="37"/>
      <c r="B64" s="37" t="s">
        <v>512</v>
      </c>
      <c r="C64" s="37" t="s">
        <v>514</v>
      </c>
      <c r="D64" s="38" t="s">
        <v>515</v>
      </c>
      <c r="E64" s="39">
        <v>3.6</v>
      </c>
      <c r="F64" s="39">
        <f t="shared" ref="F64:F69" si="0">ROUND(0.8,7)</f>
        <v>0.8</v>
      </c>
      <c r="G64" s="39">
        <f>SmtRes!CX3</f>
        <v>2.8799999999999999E-2</v>
      </c>
      <c r="H64" s="41"/>
      <c r="I64" s="40"/>
      <c r="J64" s="41">
        <f>SmtRes!CZ3</f>
        <v>1551.19</v>
      </c>
      <c r="K64" s="40"/>
      <c r="L64" s="41">
        <f>SmtRes!DG3</f>
        <v>44.67</v>
      </c>
    </row>
    <row r="65" spans="1:83" ht="14.25" x14ac:dyDescent="0.2">
      <c r="A65" s="37"/>
      <c r="B65" s="37" t="s">
        <v>516</v>
      </c>
      <c r="C65" s="37" t="s">
        <v>837</v>
      </c>
      <c r="D65" s="38" t="s">
        <v>509</v>
      </c>
      <c r="E65" s="39">
        <f>SmtRes!DO3*SmtRes!AT3</f>
        <v>3.6</v>
      </c>
      <c r="F65" s="39">
        <f t="shared" si="0"/>
        <v>0.8</v>
      </c>
      <c r="G65" s="39">
        <f>SmtRes!DO3*SmtRes!CX3</f>
        <v>2.8799999999999999E-2</v>
      </c>
      <c r="H65" s="41"/>
      <c r="I65" s="40"/>
      <c r="J65" s="41">
        <f>ROUND(SmtRes!AG3/SmtRes!DO3, 2)</f>
        <v>658.94</v>
      </c>
      <c r="K65" s="40"/>
      <c r="L65" s="41">
        <f>SmtRes!DH3</f>
        <v>18.98</v>
      </c>
      <c r="CE65">
        <v>1</v>
      </c>
    </row>
    <row r="66" spans="1:83" ht="28.5" x14ac:dyDescent="0.2">
      <c r="A66" s="37"/>
      <c r="B66" s="37" t="s">
        <v>517</v>
      </c>
      <c r="C66" s="37" t="s">
        <v>519</v>
      </c>
      <c r="D66" s="38" t="s">
        <v>515</v>
      </c>
      <c r="E66" s="39">
        <v>18.2</v>
      </c>
      <c r="F66" s="39">
        <f t="shared" si="0"/>
        <v>0.8</v>
      </c>
      <c r="G66" s="39">
        <f>SmtRes!CX4</f>
        <v>0.14560000000000001</v>
      </c>
      <c r="H66" s="41">
        <f>SmtRes!CZ4</f>
        <v>1703.3</v>
      </c>
      <c r="I66" s="40">
        <f>SmtRes!AJ4</f>
        <v>1.28</v>
      </c>
      <c r="J66" s="41">
        <f>ROUND(H66*I66, 2)</f>
        <v>2180.2199999999998</v>
      </c>
      <c r="K66" s="40"/>
      <c r="L66" s="41">
        <f>SmtRes!DG4</f>
        <v>317.44</v>
      </c>
    </row>
    <row r="67" spans="1:83" ht="14.25" x14ac:dyDescent="0.2">
      <c r="A67" s="37"/>
      <c r="B67" s="37" t="s">
        <v>516</v>
      </c>
      <c r="C67" s="37" t="s">
        <v>837</v>
      </c>
      <c r="D67" s="38" t="s">
        <v>509</v>
      </c>
      <c r="E67" s="39">
        <f>SmtRes!DO4*SmtRes!AT4</f>
        <v>18.2</v>
      </c>
      <c r="F67" s="39">
        <f t="shared" si="0"/>
        <v>0.8</v>
      </c>
      <c r="G67" s="39">
        <f>SmtRes!DO4*SmtRes!CX4</f>
        <v>0.14560000000000001</v>
      </c>
      <c r="H67" s="41"/>
      <c r="I67" s="40"/>
      <c r="J67" s="41">
        <f>ROUND(SmtRes!AG4/SmtRes!DO4, 2)</f>
        <v>658.94</v>
      </c>
      <c r="K67" s="40"/>
      <c r="L67" s="41">
        <f>SmtRes!DH4</f>
        <v>95.94</v>
      </c>
      <c r="CE67">
        <v>1</v>
      </c>
    </row>
    <row r="68" spans="1:83" ht="14.25" x14ac:dyDescent="0.2">
      <c r="A68" s="37"/>
      <c r="B68" s="37" t="s">
        <v>520</v>
      </c>
      <c r="C68" s="37" t="s">
        <v>522</v>
      </c>
      <c r="D68" s="38" t="s">
        <v>515</v>
      </c>
      <c r="E68" s="39">
        <v>5.26</v>
      </c>
      <c r="F68" s="39">
        <f t="shared" si="0"/>
        <v>0.8</v>
      </c>
      <c r="G68" s="39">
        <f>SmtRes!CX5</f>
        <v>4.2079999999999999E-2</v>
      </c>
      <c r="H68" s="41">
        <f>SmtRes!CZ5</f>
        <v>477.92</v>
      </c>
      <c r="I68" s="40">
        <f>SmtRes!AJ5</f>
        <v>1.21</v>
      </c>
      <c r="J68" s="41">
        <f>ROUND(H68*I68, 2)</f>
        <v>578.28</v>
      </c>
      <c r="K68" s="40"/>
      <c r="L68" s="41">
        <f>SmtRes!DG5</f>
        <v>24.33</v>
      </c>
    </row>
    <row r="69" spans="1:83" ht="14.25" x14ac:dyDescent="0.2">
      <c r="A69" s="37"/>
      <c r="B69" s="37" t="s">
        <v>523</v>
      </c>
      <c r="C69" s="37" t="s">
        <v>838</v>
      </c>
      <c r="D69" s="38" t="s">
        <v>509</v>
      </c>
      <c r="E69" s="39">
        <f>SmtRes!DO5*SmtRes!AT5</f>
        <v>5.26</v>
      </c>
      <c r="F69" s="39">
        <f t="shared" si="0"/>
        <v>0.8</v>
      </c>
      <c r="G69" s="39">
        <f>SmtRes!DO5*SmtRes!CX5</f>
        <v>4.2079999999999999E-2</v>
      </c>
      <c r="H69" s="41"/>
      <c r="I69" s="40"/>
      <c r="J69" s="41">
        <f>ROUND(SmtRes!AG5/SmtRes!DO5, 2)</f>
        <v>490.55</v>
      </c>
      <c r="K69" s="40"/>
      <c r="L69" s="41">
        <f>SmtRes!DH5</f>
        <v>20.64</v>
      </c>
      <c r="CE69">
        <v>1</v>
      </c>
    </row>
    <row r="70" spans="1:83" ht="15" x14ac:dyDescent="0.2">
      <c r="A70" s="36"/>
      <c r="B70" s="39">
        <v>4</v>
      </c>
      <c r="C70" s="36" t="s">
        <v>840</v>
      </c>
      <c r="D70" s="38"/>
      <c r="E70" s="43"/>
      <c r="F70" s="39"/>
      <c r="G70" s="43"/>
      <c r="H70" s="39"/>
      <c r="I70" s="39"/>
      <c r="J70" s="39"/>
      <c r="K70" s="39"/>
      <c r="L70" s="44">
        <f>SUM(L71:L71)-SUMIF(CE71:CE71, 1, L71:L71)</f>
        <v>0</v>
      </c>
    </row>
    <row r="71" spans="1:83" ht="14.25" x14ac:dyDescent="0.2">
      <c r="A71" s="37"/>
      <c r="B71" s="37" t="s">
        <v>527</v>
      </c>
      <c r="C71" s="45" t="s">
        <v>529</v>
      </c>
      <c r="D71" s="46" t="s">
        <v>129</v>
      </c>
      <c r="E71" s="47">
        <v>1.65</v>
      </c>
      <c r="F71" s="47">
        <f>ROUND(0,7)</f>
        <v>0</v>
      </c>
      <c r="G71" s="47">
        <f>SmtRes!CX7</f>
        <v>0</v>
      </c>
      <c r="H71" s="48">
        <f>SmtRes!CZ7</f>
        <v>3778.62</v>
      </c>
      <c r="I71" s="49">
        <f>SmtRes!AI7</f>
        <v>1.2</v>
      </c>
      <c r="J71" s="48">
        <f>ROUND(H71*I71, 2)</f>
        <v>4534.34</v>
      </c>
      <c r="K71" s="49">
        <f>ROUND((1.01),7)</f>
        <v>1.01</v>
      </c>
      <c r="L71" s="48">
        <f>SmtRes!DF7</f>
        <v>0</v>
      </c>
    </row>
    <row r="72" spans="1:83" ht="15" x14ac:dyDescent="0.2">
      <c r="A72" s="37"/>
      <c r="B72" s="37"/>
      <c r="C72" s="51" t="s">
        <v>841</v>
      </c>
      <c r="D72" s="38"/>
      <c r="E72" s="39"/>
      <c r="F72" s="39"/>
      <c r="G72" s="39"/>
      <c r="H72" s="41"/>
      <c r="I72" s="40"/>
      <c r="J72" s="41"/>
      <c r="K72" s="40"/>
      <c r="L72" s="41">
        <f>L60+L62+L63+L70</f>
        <v>760.66999999999985</v>
      </c>
    </row>
    <row r="73" spans="1:83" ht="14.25" x14ac:dyDescent="0.2">
      <c r="A73" s="37"/>
      <c r="B73" s="37"/>
      <c r="C73" s="37" t="s">
        <v>842</v>
      </c>
      <c r="D73" s="38"/>
      <c r="E73" s="39"/>
      <c r="F73" s="39"/>
      <c r="G73" s="39"/>
      <c r="H73" s="41"/>
      <c r="I73" s="40"/>
      <c r="J73" s="41"/>
      <c r="K73" s="40"/>
      <c r="L73" s="41">
        <f>SUM(AR55:AR76)+SUM(AS55:AS76)+SUM(AT55:AT76)+SUM(AU55:AU76)+SUM(AV55:AV76)</f>
        <v>374.23</v>
      </c>
    </row>
    <row r="74" spans="1:83" ht="57" x14ac:dyDescent="0.2">
      <c r="A74" s="37"/>
      <c r="B74" s="37" t="s">
        <v>85</v>
      </c>
      <c r="C74" s="37" t="s">
        <v>843</v>
      </c>
      <c r="D74" s="38" t="s">
        <v>669</v>
      </c>
      <c r="E74" s="39">
        <f>Source!BZ62</f>
        <v>116</v>
      </c>
      <c r="F74" s="39"/>
      <c r="G74" s="39">
        <f>Source!AT62</f>
        <v>116</v>
      </c>
      <c r="H74" s="41"/>
      <c r="I74" s="40"/>
      <c r="J74" s="41"/>
      <c r="K74" s="40"/>
      <c r="L74" s="41">
        <f>SUM(AZ55:AZ76)</f>
        <v>434.11</v>
      </c>
    </row>
    <row r="75" spans="1:83" ht="57" x14ac:dyDescent="0.2">
      <c r="A75" s="45"/>
      <c r="B75" s="45" t="s">
        <v>86</v>
      </c>
      <c r="C75" s="45" t="s">
        <v>844</v>
      </c>
      <c r="D75" s="46" t="s">
        <v>669</v>
      </c>
      <c r="E75" s="47">
        <f>Source!CA62</f>
        <v>80</v>
      </c>
      <c r="F75" s="47"/>
      <c r="G75" s="47">
        <f>Source!AU62</f>
        <v>80</v>
      </c>
      <c r="H75" s="48"/>
      <c r="I75" s="49"/>
      <c r="J75" s="48"/>
      <c r="K75" s="49"/>
      <c r="L75" s="48">
        <f>SUM(BA55:BA76)</f>
        <v>299.38</v>
      </c>
    </row>
    <row r="76" spans="1:83" ht="15" x14ac:dyDescent="0.2">
      <c r="C76" s="112" t="s">
        <v>845</v>
      </c>
      <c r="D76" s="112"/>
      <c r="E76" s="112"/>
      <c r="F76" s="112"/>
      <c r="G76" s="112"/>
      <c r="H76" s="112"/>
      <c r="I76" s="113">
        <f>K76/E55</f>
        <v>149415.99999999997</v>
      </c>
      <c r="J76" s="113"/>
      <c r="K76" s="113">
        <f>L60+L62+L70+L74+L75+L63</f>
        <v>1494.1599999999999</v>
      </c>
      <c r="L76" s="113"/>
      <c r="AD76">
        <f>ROUND((Source!AT62/100)*((ROUND(SUMIF(SmtRes!AQ1:'SmtRes'!AQ8,"=1",SmtRes!AD1:'SmtRes'!AD8)*Source!I62, 2)+ROUND(SUMIF(SmtRes!AQ1:'SmtRes'!AQ8,"=1",SmtRes!AC1:'SmtRes'!AC8)*Source!I62, 2))), 2)</f>
        <v>26.16</v>
      </c>
      <c r="AE76">
        <f>ROUND((Source!AU62/100)*((ROUND(SUMIF(SmtRes!AQ1:'SmtRes'!AQ8,"=1",SmtRes!AD1:'SmtRes'!AD8)*Source!I62, 2)+ROUND(SUMIF(SmtRes!AQ1:'SmtRes'!AQ8,"=1",SmtRes!AC1:'SmtRes'!AC8)*Source!I62, 2))), 2)</f>
        <v>18.04</v>
      </c>
      <c r="AN76" s="50">
        <f>L60+L62+L70+L74+L75+L63</f>
        <v>1494.1599999999999</v>
      </c>
      <c r="AO76" s="50">
        <f>L62</f>
        <v>386.43999999999994</v>
      </c>
      <c r="AQ76" t="s">
        <v>846</v>
      </c>
      <c r="AR76" s="50">
        <f>L60</f>
        <v>238.67</v>
      </c>
      <c r="AT76" s="50">
        <f>L63</f>
        <v>135.56</v>
      </c>
      <c r="AV76" t="s">
        <v>846</v>
      </c>
      <c r="AW76" s="50">
        <f>L70</f>
        <v>0</v>
      </c>
      <c r="AZ76">
        <f>Source!X62</f>
        <v>434.11</v>
      </c>
      <c r="BA76">
        <f>Source!Y62</f>
        <v>299.38</v>
      </c>
      <c r="CD76">
        <v>1</v>
      </c>
    </row>
    <row r="77" spans="1:83" ht="14.25" x14ac:dyDescent="0.2">
      <c r="A77" s="35" t="s">
        <v>87</v>
      </c>
      <c r="B77" s="37" t="s">
        <v>847</v>
      </c>
      <c r="C77" s="37" t="str">
        <f>Source!G63</f>
        <v>Демонтаж блоков стен подвалов массой: до 1,5 т</v>
      </c>
      <c r="D77" s="38" t="str">
        <f>Source!H63</f>
        <v>100 ШТ</v>
      </c>
      <c r="E77" s="39">
        <f>Source!K63</f>
        <v>0.03</v>
      </c>
      <c r="F77" s="39"/>
      <c r="G77" s="39">
        <f>Source!I63</f>
        <v>0.03</v>
      </c>
      <c r="H77" s="41"/>
      <c r="I77" s="40"/>
      <c r="J77" s="41"/>
      <c r="K77" s="40"/>
      <c r="L77" s="41"/>
    </row>
    <row r="78" spans="1:83" ht="25.5" x14ac:dyDescent="0.2">
      <c r="B78" s="42" t="s">
        <v>774</v>
      </c>
      <c r="C78" s="110" t="s">
        <v>832</v>
      </c>
      <c r="D78" s="110"/>
      <c r="E78" s="110"/>
      <c r="F78" s="110"/>
      <c r="G78" s="110"/>
      <c r="H78" s="110"/>
      <c r="I78" s="110"/>
      <c r="J78" s="110"/>
      <c r="K78" s="110"/>
      <c r="L78" s="110"/>
    </row>
    <row r="79" spans="1:83" ht="25.5" x14ac:dyDescent="0.2">
      <c r="B79" s="42" t="s">
        <v>776</v>
      </c>
      <c r="C79" s="110" t="s">
        <v>833</v>
      </c>
      <c r="D79" s="110"/>
      <c r="E79" s="110"/>
      <c r="F79" s="110"/>
      <c r="G79" s="110"/>
      <c r="H79" s="110"/>
      <c r="I79" s="110"/>
      <c r="J79" s="110"/>
      <c r="K79" s="110"/>
      <c r="L79" s="110"/>
    </row>
    <row r="80" spans="1:83" x14ac:dyDescent="0.2">
      <c r="C80" s="111" t="s">
        <v>834</v>
      </c>
      <c r="D80" s="111"/>
      <c r="E80" s="111"/>
      <c r="F80" s="111"/>
    </row>
    <row r="81" spans="1:83" x14ac:dyDescent="0.2">
      <c r="C81" s="58" t="str">
        <f>"Объем: "&amp;Source!I63&amp;"=3/"&amp;"100"</f>
        <v>Объем: 0,03=3/100</v>
      </c>
    </row>
    <row r="82" spans="1:83" ht="15" x14ac:dyDescent="0.2">
      <c r="A82" s="36"/>
      <c r="B82" s="39">
        <v>1</v>
      </c>
      <c r="C82" s="36" t="s">
        <v>835</v>
      </c>
      <c r="D82" s="38" t="s">
        <v>509</v>
      </c>
      <c r="E82" s="43"/>
      <c r="F82" s="39"/>
      <c r="G82" s="43">
        <f>Source!U63</f>
        <v>2.2488000000000001</v>
      </c>
      <c r="H82" s="39"/>
      <c r="I82" s="39"/>
      <c r="J82" s="39"/>
      <c r="K82" s="39"/>
      <c r="L82" s="44">
        <f>SUM(L83:L83)-SUMIF(CE83:CE83, 1, L83:L83)</f>
        <v>1029.05</v>
      </c>
    </row>
    <row r="83" spans="1:83" ht="14.25" x14ac:dyDescent="0.2">
      <c r="A83" s="37"/>
      <c r="B83" s="37" t="s">
        <v>532</v>
      </c>
      <c r="C83" s="37" t="s">
        <v>533</v>
      </c>
      <c r="D83" s="38" t="s">
        <v>509</v>
      </c>
      <c r="E83" s="39">
        <v>93.7</v>
      </c>
      <c r="F83" s="39">
        <f>ROUND(0.8,7)</f>
        <v>0.8</v>
      </c>
      <c r="G83" s="39">
        <f>SmtRes!CX9</f>
        <v>2.2488000000000001</v>
      </c>
      <c r="H83" s="41"/>
      <c r="I83" s="40"/>
      <c r="J83" s="41">
        <f>SmtRes!CZ9</f>
        <v>457.6</v>
      </c>
      <c r="K83" s="40"/>
      <c r="L83" s="41">
        <f>SmtRes!DI9</f>
        <v>1029.05</v>
      </c>
    </row>
    <row r="84" spans="1:83" ht="15" x14ac:dyDescent="0.2">
      <c r="A84" s="36"/>
      <c r="B84" s="39">
        <v>2</v>
      </c>
      <c r="C84" s="36" t="s">
        <v>836</v>
      </c>
      <c r="D84" s="38"/>
      <c r="E84" s="43"/>
      <c r="F84" s="39"/>
      <c r="G84" s="43"/>
      <c r="H84" s="39"/>
      <c r="I84" s="39"/>
      <c r="J84" s="39"/>
      <c r="K84" s="39"/>
      <c r="L84" s="44">
        <f>SUM(L85:L91)-SUMIF(CE85:CE91, 1, L85:L91)</f>
        <v>1779.41</v>
      </c>
    </row>
    <row r="85" spans="1:83" ht="15" x14ac:dyDescent="0.2">
      <c r="A85" s="36"/>
      <c r="B85" s="39"/>
      <c r="C85" s="36" t="s">
        <v>839</v>
      </c>
      <c r="D85" s="38" t="s">
        <v>509</v>
      </c>
      <c r="E85" s="43"/>
      <c r="F85" s="39"/>
      <c r="G85" s="43">
        <f>Source!V63</f>
        <v>1.0334399999999999</v>
      </c>
      <c r="H85" s="39"/>
      <c r="I85" s="39"/>
      <c r="J85" s="39"/>
      <c r="K85" s="39"/>
      <c r="L85" s="44">
        <f>SUMIF(CE86:CE91, 1, L86:L91)</f>
        <v>641.74</v>
      </c>
      <c r="CE85">
        <v>1</v>
      </c>
    </row>
    <row r="86" spans="1:83" ht="28.5" x14ac:dyDescent="0.2">
      <c r="A86" s="37"/>
      <c r="B86" s="37" t="s">
        <v>512</v>
      </c>
      <c r="C86" s="37" t="s">
        <v>514</v>
      </c>
      <c r="D86" s="38" t="s">
        <v>515</v>
      </c>
      <c r="E86" s="39">
        <v>6.65</v>
      </c>
      <c r="F86" s="39">
        <f t="shared" ref="F86:F91" si="1">ROUND(0.8,7)</f>
        <v>0.8</v>
      </c>
      <c r="G86" s="39">
        <f>SmtRes!CX11</f>
        <v>0.15959999999999999</v>
      </c>
      <c r="H86" s="41"/>
      <c r="I86" s="40"/>
      <c r="J86" s="41">
        <f>SmtRes!CZ11</f>
        <v>1551.19</v>
      </c>
      <c r="K86" s="40"/>
      <c r="L86" s="41">
        <f>SmtRes!DG11</f>
        <v>247.57</v>
      </c>
    </row>
    <row r="87" spans="1:83" ht="14.25" x14ac:dyDescent="0.2">
      <c r="A87" s="37"/>
      <c r="B87" s="37" t="s">
        <v>516</v>
      </c>
      <c r="C87" s="37" t="s">
        <v>837</v>
      </c>
      <c r="D87" s="38" t="s">
        <v>509</v>
      </c>
      <c r="E87" s="39">
        <f>SmtRes!DO11*SmtRes!AT11</f>
        <v>6.65</v>
      </c>
      <c r="F87" s="39">
        <f t="shared" si="1"/>
        <v>0.8</v>
      </c>
      <c r="G87" s="39">
        <f>SmtRes!DO11*SmtRes!CX11</f>
        <v>0.15959999999999999</v>
      </c>
      <c r="H87" s="41"/>
      <c r="I87" s="40"/>
      <c r="J87" s="41">
        <f>ROUND(SmtRes!AG11/SmtRes!DO11, 2)</f>
        <v>658.94</v>
      </c>
      <c r="K87" s="40"/>
      <c r="L87" s="41">
        <f>SmtRes!DH11</f>
        <v>105.17</v>
      </c>
      <c r="CE87">
        <v>1</v>
      </c>
    </row>
    <row r="88" spans="1:83" ht="28.5" x14ac:dyDescent="0.2">
      <c r="A88" s="37"/>
      <c r="B88" s="37" t="s">
        <v>517</v>
      </c>
      <c r="C88" s="37" t="s">
        <v>519</v>
      </c>
      <c r="D88" s="38" t="s">
        <v>515</v>
      </c>
      <c r="E88" s="39">
        <v>26.7</v>
      </c>
      <c r="F88" s="39">
        <f t="shared" si="1"/>
        <v>0.8</v>
      </c>
      <c r="G88" s="39">
        <f>SmtRes!CX12</f>
        <v>0.64080000000000004</v>
      </c>
      <c r="H88" s="41">
        <f>SmtRes!CZ12</f>
        <v>1703.3</v>
      </c>
      <c r="I88" s="40">
        <f>SmtRes!AJ12</f>
        <v>1.28</v>
      </c>
      <c r="J88" s="41">
        <f>ROUND(H88*I88, 2)</f>
        <v>2180.2199999999998</v>
      </c>
      <c r="K88" s="40"/>
      <c r="L88" s="41">
        <f>SmtRes!DG12</f>
        <v>1397.08</v>
      </c>
    </row>
    <row r="89" spans="1:83" ht="14.25" x14ac:dyDescent="0.2">
      <c r="A89" s="37"/>
      <c r="B89" s="37" t="s">
        <v>516</v>
      </c>
      <c r="C89" s="37" t="s">
        <v>837</v>
      </c>
      <c r="D89" s="38" t="s">
        <v>509</v>
      </c>
      <c r="E89" s="39">
        <f>SmtRes!DO12*SmtRes!AT12</f>
        <v>26.7</v>
      </c>
      <c r="F89" s="39">
        <f t="shared" si="1"/>
        <v>0.8</v>
      </c>
      <c r="G89" s="39">
        <f>SmtRes!DO12*SmtRes!CX12</f>
        <v>0.64080000000000004</v>
      </c>
      <c r="H89" s="41"/>
      <c r="I89" s="40"/>
      <c r="J89" s="41">
        <f>ROUND(SmtRes!AG12/SmtRes!DO12, 2)</f>
        <v>658.94</v>
      </c>
      <c r="K89" s="40"/>
      <c r="L89" s="41">
        <f>SmtRes!DH12</f>
        <v>422.25</v>
      </c>
      <c r="CE89">
        <v>1</v>
      </c>
    </row>
    <row r="90" spans="1:83" ht="14.25" x14ac:dyDescent="0.2">
      <c r="A90" s="37"/>
      <c r="B90" s="37" t="s">
        <v>520</v>
      </c>
      <c r="C90" s="37" t="s">
        <v>522</v>
      </c>
      <c r="D90" s="38" t="s">
        <v>515</v>
      </c>
      <c r="E90" s="39">
        <v>9.7100000000000009</v>
      </c>
      <c r="F90" s="39">
        <f t="shared" si="1"/>
        <v>0.8</v>
      </c>
      <c r="G90" s="39">
        <f>SmtRes!CX13</f>
        <v>0.23304</v>
      </c>
      <c r="H90" s="41">
        <f>SmtRes!CZ13</f>
        <v>477.92</v>
      </c>
      <c r="I90" s="40">
        <f>SmtRes!AJ13</f>
        <v>1.21</v>
      </c>
      <c r="J90" s="41">
        <f>ROUND(H90*I90, 2)</f>
        <v>578.28</v>
      </c>
      <c r="K90" s="40"/>
      <c r="L90" s="41">
        <f>SmtRes!DG13</f>
        <v>134.76</v>
      </c>
    </row>
    <row r="91" spans="1:83" ht="14.25" x14ac:dyDescent="0.2">
      <c r="A91" s="37"/>
      <c r="B91" s="37" t="s">
        <v>523</v>
      </c>
      <c r="C91" s="37" t="s">
        <v>838</v>
      </c>
      <c r="D91" s="38" t="s">
        <v>509</v>
      </c>
      <c r="E91" s="39">
        <f>SmtRes!DO13*SmtRes!AT13</f>
        <v>9.7100000000000009</v>
      </c>
      <c r="F91" s="39">
        <f t="shared" si="1"/>
        <v>0.8</v>
      </c>
      <c r="G91" s="39">
        <f>SmtRes!DO13*SmtRes!CX13</f>
        <v>0.23304</v>
      </c>
      <c r="H91" s="41"/>
      <c r="I91" s="40"/>
      <c r="J91" s="41">
        <f>ROUND(SmtRes!AG13/SmtRes!DO13, 2)</f>
        <v>490.55</v>
      </c>
      <c r="K91" s="40"/>
      <c r="L91" s="41">
        <f>SmtRes!DH13</f>
        <v>114.32</v>
      </c>
      <c r="CE91">
        <v>1</v>
      </c>
    </row>
    <row r="92" spans="1:83" ht="15" x14ac:dyDescent="0.2">
      <c r="A92" s="36"/>
      <c r="B92" s="39">
        <v>4</v>
      </c>
      <c r="C92" s="36" t="s">
        <v>840</v>
      </c>
      <c r="D92" s="38"/>
      <c r="E92" s="43"/>
      <c r="F92" s="39"/>
      <c r="G92" s="43"/>
      <c r="H92" s="39"/>
      <c r="I92" s="39"/>
      <c r="J92" s="39"/>
      <c r="K92" s="39"/>
      <c r="L92" s="44">
        <f>SUM(L93:L93)-SUMIF(CE93:CE93, 1, L93:L93)</f>
        <v>0</v>
      </c>
    </row>
    <row r="93" spans="1:83" ht="14.25" x14ac:dyDescent="0.2">
      <c r="A93" s="37"/>
      <c r="B93" s="37" t="s">
        <v>527</v>
      </c>
      <c r="C93" s="45" t="s">
        <v>529</v>
      </c>
      <c r="D93" s="46" t="s">
        <v>129</v>
      </c>
      <c r="E93" s="47">
        <v>2.95</v>
      </c>
      <c r="F93" s="47">
        <f>ROUND(0,7)</f>
        <v>0</v>
      </c>
      <c r="G93" s="47">
        <f>SmtRes!CX15</f>
        <v>0</v>
      </c>
      <c r="H93" s="48">
        <f>SmtRes!CZ15</f>
        <v>3778.62</v>
      </c>
      <c r="I93" s="49">
        <f>SmtRes!AI15</f>
        <v>1.2</v>
      </c>
      <c r="J93" s="48">
        <f>ROUND(H93*I93, 2)</f>
        <v>4534.34</v>
      </c>
      <c r="K93" s="49">
        <f>ROUND((1.01),7)</f>
        <v>1.01</v>
      </c>
      <c r="L93" s="48">
        <f>SmtRes!DF15</f>
        <v>0</v>
      </c>
    </row>
    <row r="94" spans="1:83" ht="15" x14ac:dyDescent="0.2">
      <c r="A94" s="37"/>
      <c r="B94" s="37"/>
      <c r="C94" s="51" t="s">
        <v>841</v>
      </c>
      <c r="D94" s="38"/>
      <c r="E94" s="39"/>
      <c r="F94" s="39"/>
      <c r="G94" s="39"/>
      <c r="H94" s="41"/>
      <c r="I94" s="40"/>
      <c r="J94" s="41"/>
      <c r="K94" s="40"/>
      <c r="L94" s="41">
        <f>L82+L84+L85+L92</f>
        <v>3450.2</v>
      </c>
    </row>
    <row r="95" spans="1:83" ht="14.25" x14ac:dyDescent="0.2">
      <c r="A95" s="37"/>
      <c r="B95" s="37"/>
      <c r="C95" s="37" t="s">
        <v>842</v>
      </c>
      <c r="D95" s="38"/>
      <c r="E95" s="39"/>
      <c r="F95" s="39"/>
      <c r="G95" s="39"/>
      <c r="H95" s="41"/>
      <c r="I95" s="40"/>
      <c r="J95" s="41"/>
      <c r="K95" s="40"/>
      <c r="L95" s="41">
        <f>SUM(AR77:AR98)+SUM(AS77:AS98)+SUM(AT77:AT98)+SUM(AU77:AU98)+SUM(AV77:AV98)</f>
        <v>1670.79</v>
      </c>
    </row>
    <row r="96" spans="1:83" ht="57" x14ac:dyDescent="0.2">
      <c r="A96" s="37"/>
      <c r="B96" s="37" t="s">
        <v>85</v>
      </c>
      <c r="C96" s="37" t="s">
        <v>843</v>
      </c>
      <c r="D96" s="38" t="s">
        <v>669</v>
      </c>
      <c r="E96" s="39">
        <f>Source!BZ63</f>
        <v>116</v>
      </c>
      <c r="F96" s="39"/>
      <c r="G96" s="39">
        <f>Source!AT63</f>
        <v>116</v>
      </c>
      <c r="H96" s="41"/>
      <c r="I96" s="40"/>
      <c r="J96" s="41"/>
      <c r="K96" s="40"/>
      <c r="L96" s="41">
        <f>SUM(AZ77:AZ98)</f>
        <v>1938.12</v>
      </c>
    </row>
    <row r="97" spans="1:83" ht="57" x14ac:dyDescent="0.2">
      <c r="A97" s="45"/>
      <c r="B97" s="45" t="s">
        <v>86</v>
      </c>
      <c r="C97" s="45" t="s">
        <v>844</v>
      </c>
      <c r="D97" s="46" t="s">
        <v>669</v>
      </c>
      <c r="E97" s="47">
        <f>Source!CA63</f>
        <v>80</v>
      </c>
      <c r="F97" s="47"/>
      <c r="G97" s="47">
        <f>Source!AU63</f>
        <v>80</v>
      </c>
      <c r="H97" s="48"/>
      <c r="I97" s="49"/>
      <c r="J97" s="48"/>
      <c r="K97" s="49"/>
      <c r="L97" s="48">
        <f>SUM(BA77:BA98)</f>
        <v>1336.63</v>
      </c>
    </row>
    <row r="98" spans="1:83" ht="15" x14ac:dyDescent="0.2">
      <c r="C98" s="112" t="s">
        <v>845</v>
      </c>
      <c r="D98" s="112"/>
      <c r="E98" s="112"/>
      <c r="F98" s="112"/>
      <c r="G98" s="112"/>
      <c r="H98" s="112"/>
      <c r="I98" s="113">
        <f>K98/E77</f>
        <v>224165</v>
      </c>
      <c r="J98" s="113"/>
      <c r="K98" s="113">
        <f>L82+L84+L92+L96+L97+L85</f>
        <v>6724.95</v>
      </c>
      <c r="L98" s="113"/>
      <c r="AD98">
        <f>ROUND((Source!AT63/100)*((ROUND(SUMIF(SmtRes!AQ9:'SmtRes'!AQ16,"=1",SmtRes!AD9:'SmtRes'!AD16)*Source!I63, 2)+ROUND(SUMIF(SmtRes!AQ9:'SmtRes'!AQ16,"=1",SmtRes!AC9:'SmtRes'!AC16)*Source!I63, 2))), 2)</f>
        <v>78.86</v>
      </c>
      <c r="AE98">
        <f>ROUND((Source!AU63/100)*((ROUND(SUMIF(SmtRes!AQ9:'SmtRes'!AQ16,"=1",SmtRes!AD9:'SmtRes'!AD16)*Source!I63, 2)+ROUND(SUMIF(SmtRes!AQ9:'SmtRes'!AQ16,"=1",SmtRes!AC9:'SmtRes'!AC16)*Source!I63, 2))), 2)</f>
        <v>54.38</v>
      </c>
      <c r="AN98" s="50">
        <f>L82+L84+L92+L96+L97+L85</f>
        <v>6724.95</v>
      </c>
      <c r="AO98" s="50">
        <f>L84</f>
        <v>1779.41</v>
      </c>
      <c r="AQ98" t="s">
        <v>846</v>
      </c>
      <c r="AR98" s="50">
        <f>L82</f>
        <v>1029.05</v>
      </c>
      <c r="AT98" s="50">
        <f>L85</f>
        <v>641.74</v>
      </c>
      <c r="AV98" t="s">
        <v>846</v>
      </c>
      <c r="AW98" s="50">
        <f>L92</f>
        <v>0</v>
      </c>
      <c r="AZ98">
        <f>Source!X63</f>
        <v>1938.12</v>
      </c>
      <c r="BA98">
        <f>Source!Y63</f>
        <v>1336.63</v>
      </c>
      <c r="CD98">
        <v>1</v>
      </c>
    </row>
    <row r="99" spans="1:83" ht="28.5" x14ac:dyDescent="0.2">
      <c r="A99" s="35" t="s">
        <v>91</v>
      </c>
      <c r="B99" s="37" t="s">
        <v>848</v>
      </c>
      <c r="C99" s="37" t="str">
        <f>Source!G64</f>
        <v>Демонтаж : Обвяка уголком 63х63х5 фундаментных блоков</v>
      </c>
      <c r="D99" s="38" t="str">
        <f>Source!H64</f>
        <v>т</v>
      </c>
      <c r="E99" s="39">
        <f>Source!K64</f>
        <v>0.11544</v>
      </c>
      <c r="F99" s="39"/>
      <c r="G99" s="39">
        <f>Source!I64</f>
        <v>0.11544</v>
      </c>
      <c r="H99" s="41"/>
      <c r="I99" s="40"/>
      <c r="J99" s="41"/>
      <c r="K99" s="40"/>
      <c r="L99" s="41"/>
    </row>
    <row r="100" spans="1:83" ht="25.5" x14ac:dyDescent="0.2">
      <c r="B100" s="42" t="s">
        <v>779</v>
      </c>
      <c r="C100" s="110" t="s">
        <v>849</v>
      </c>
      <c r="D100" s="110"/>
      <c r="E100" s="110"/>
      <c r="F100" s="110"/>
      <c r="G100" s="110"/>
      <c r="H100" s="110"/>
      <c r="I100" s="110"/>
      <c r="J100" s="110"/>
      <c r="K100" s="110"/>
      <c r="L100" s="110"/>
    </row>
    <row r="101" spans="1:83" ht="15" x14ac:dyDescent="0.2">
      <c r="A101" s="36"/>
      <c r="B101" s="39">
        <v>1</v>
      </c>
      <c r="C101" s="36" t="s">
        <v>835</v>
      </c>
      <c r="D101" s="38" t="s">
        <v>509</v>
      </c>
      <c r="E101" s="43"/>
      <c r="F101" s="39"/>
      <c r="G101" s="43">
        <f>Source!U64</f>
        <v>3.1959564</v>
      </c>
      <c r="H101" s="39"/>
      <c r="I101" s="39"/>
      <c r="J101" s="39"/>
      <c r="K101" s="39"/>
      <c r="L101" s="44">
        <f>SUM(L102:L102)-SUMIF(CE102:CE102, 1, L102:L102)</f>
        <v>1427.38</v>
      </c>
    </row>
    <row r="102" spans="1:83" ht="14.25" x14ac:dyDescent="0.2">
      <c r="A102" s="37"/>
      <c r="B102" s="37" t="s">
        <v>507</v>
      </c>
      <c r="C102" s="37" t="s">
        <v>508</v>
      </c>
      <c r="D102" s="38" t="s">
        <v>509</v>
      </c>
      <c r="E102" s="39">
        <v>39.549999999999997</v>
      </c>
      <c r="F102" s="39">
        <f>ROUND(0.7,7)</f>
        <v>0.7</v>
      </c>
      <c r="G102" s="39">
        <f>SmtRes!CX17</f>
        <v>3.1959564</v>
      </c>
      <c r="H102" s="41"/>
      <c r="I102" s="40"/>
      <c r="J102" s="41">
        <f>SmtRes!CZ17</f>
        <v>446.62</v>
      </c>
      <c r="K102" s="40"/>
      <c r="L102" s="41">
        <f>SmtRes!DI17</f>
        <v>1427.38</v>
      </c>
    </row>
    <row r="103" spans="1:83" ht="15" x14ac:dyDescent="0.2">
      <c r="A103" s="36"/>
      <c r="B103" s="39">
        <v>2</v>
      </c>
      <c r="C103" s="36" t="s">
        <v>836</v>
      </c>
      <c r="D103" s="38"/>
      <c r="E103" s="43"/>
      <c r="F103" s="39"/>
      <c r="G103" s="43"/>
      <c r="H103" s="39"/>
      <c r="I103" s="39"/>
      <c r="J103" s="39"/>
      <c r="K103" s="39"/>
      <c r="L103" s="44">
        <f>SUM(L104:L114)-SUMIF(CE104:CE114, 1, L104:L114)</f>
        <v>677.96000000000026</v>
      </c>
    </row>
    <row r="104" spans="1:83" ht="15" x14ac:dyDescent="0.2">
      <c r="A104" s="36"/>
      <c r="B104" s="39"/>
      <c r="C104" s="36" t="s">
        <v>839</v>
      </c>
      <c r="D104" s="38" t="s">
        <v>509</v>
      </c>
      <c r="E104" s="43"/>
      <c r="F104" s="39"/>
      <c r="G104" s="43">
        <f>Source!V64</f>
        <v>0.32404010000000005</v>
      </c>
      <c r="H104" s="39"/>
      <c r="I104" s="39"/>
      <c r="J104" s="39"/>
      <c r="K104" s="39"/>
      <c r="L104" s="44">
        <f>SUMIF(CE105:CE114, 1, L105:L114)</f>
        <v>210.93</v>
      </c>
      <c r="CE104">
        <v>1</v>
      </c>
    </row>
    <row r="105" spans="1:83" ht="14.25" x14ac:dyDescent="0.2">
      <c r="A105" s="37"/>
      <c r="B105" s="37" t="s">
        <v>534</v>
      </c>
      <c r="C105" s="37" t="s">
        <v>536</v>
      </c>
      <c r="D105" s="38" t="s">
        <v>515</v>
      </c>
      <c r="E105" s="39">
        <v>0.1</v>
      </c>
      <c r="F105" s="39">
        <f t="shared" ref="F105:F114" si="2">ROUND(0.7,7)</f>
        <v>0.7</v>
      </c>
      <c r="G105" s="39">
        <f>SmtRes!CX19</f>
        <v>8.0808000000000008E-3</v>
      </c>
      <c r="H105" s="41">
        <f>SmtRes!CZ19</f>
        <v>1803.79</v>
      </c>
      <c r="I105" s="40">
        <f>SmtRes!AJ19</f>
        <v>1.28</v>
      </c>
      <c r="J105" s="41">
        <f>ROUND(H105*I105, 2)</f>
        <v>2308.85</v>
      </c>
      <c r="K105" s="40"/>
      <c r="L105" s="41">
        <f>SmtRes!DG19</f>
        <v>18.66</v>
      </c>
    </row>
    <row r="106" spans="1:83" ht="14.25" x14ac:dyDescent="0.2">
      <c r="A106" s="37"/>
      <c r="B106" s="37" t="s">
        <v>516</v>
      </c>
      <c r="C106" s="37" t="s">
        <v>837</v>
      </c>
      <c r="D106" s="38" t="s">
        <v>509</v>
      </c>
      <c r="E106" s="39">
        <f>SmtRes!DO19*SmtRes!AT19</f>
        <v>0.1</v>
      </c>
      <c r="F106" s="39">
        <f t="shared" si="2"/>
        <v>0.7</v>
      </c>
      <c r="G106" s="39">
        <f>SmtRes!DO19*SmtRes!CX19</f>
        <v>8.0808000000000008E-3</v>
      </c>
      <c r="H106" s="41"/>
      <c r="I106" s="40"/>
      <c r="J106" s="41">
        <f>ROUND(SmtRes!AG19/SmtRes!DO19, 2)</f>
        <v>658.94</v>
      </c>
      <c r="K106" s="40"/>
      <c r="L106" s="41">
        <f>SmtRes!DH19</f>
        <v>5.32</v>
      </c>
      <c r="CE106">
        <v>1</v>
      </c>
    </row>
    <row r="107" spans="1:83" ht="28.5" x14ac:dyDescent="0.2">
      <c r="A107" s="37"/>
      <c r="B107" s="37" t="s">
        <v>512</v>
      </c>
      <c r="C107" s="37" t="s">
        <v>514</v>
      </c>
      <c r="D107" s="38" t="s">
        <v>515</v>
      </c>
      <c r="E107" s="39">
        <v>0.12</v>
      </c>
      <c r="F107" s="39">
        <f t="shared" si="2"/>
        <v>0.7</v>
      </c>
      <c r="G107" s="39">
        <f>SmtRes!CX20</f>
        <v>9.6970000000000008E-3</v>
      </c>
      <c r="H107" s="41"/>
      <c r="I107" s="40"/>
      <c r="J107" s="41">
        <f>SmtRes!CZ20</f>
        <v>1551.19</v>
      </c>
      <c r="K107" s="40"/>
      <c r="L107" s="41">
        <f>SmtRes!DG20</f>
        <v>15.04</v>
      </c>
    </row>
    <row r="108" spans="1:83" ht="14.25" x14ac:dyDescent="0.2">
      <c r="A108" s="37"/>
      <c r="B108" s="37" t="s">
        <v>516</v>
      </c>
      <c r="C108" s="37" t="s">
        <v>837</v>
      </c>
      <c r="D108" s="38" t="s">
        <v>509</v>
      </c>
      <c r="E108" s="39">
        <f>SmtRes!DO20*SmtRes!AT20</f>
        <v>0.12</v>
      </c>
      <c r="F108" s="39">
        <f t="shared" si="2"/>
        <v>0.7</v>
      </c>
      <c r="G108" s="39">
        <f>SmtRes!DO20*SmtRes!CX20</f>
        <v>9.6970000000000008E-3</v>
      </c>
      <c r="H108" s="41"/>
      <c r="I108" s="40"/>
      <c r="J108" s="41">
        <f>ROUND(SmtRes!AG20/SmtRes!DO20, 2)</f>
        <v>658.94</v>
      </c>
      <c r="K108" s="40"/>
      <c r="L108" s="41">
        <f>SmtRes!DH20</f>
        <v>6.39</v>
      </c>
      <c r="CE108">
        <v>1</v>
      </c>
    </row>
    <row r="109" spans="1:83" ht="28.5" x14ac:dyDescent="0.2">
      <c r="A109" s="37"/>
      <c r="B109" s="37" t="s">
        <v>517</v>
      </c>
      <c r="C109" s="37" t="s">
        <v>519</v>
      </c>
      <c r="D109" s="38" t="s">
        <v>515</v>
      </c>
      <c r="E109" s="39">
        <v>3.6</v>
      </c>
      <c r="F109" s="39">
        <f t="shared" si="2"/>
        <v>0.7</v>
      </c>
      <c r="G109" s="39">
        <f>SmtRes!CX21</f>
        <v>0.29090880000000002</v>
      </c>
      <c r="H109" s="41">
        <f>SmtRes!CZ21</f>
        <v>1703.3</v>
      </c>
      <c r="I109" s="40">
        <f>SmtRes!AJ21</f>
        <v>1.28</v>
      </c>
      <c r="J109" s="41">
        <f>ROUND(H109*I109, 2)</f>
        <v>2180.2199999999998</v>
      </c>
      <c r="K109" s="40"/>
      <c r="L109" s="41">
        <f>SmtRes!DG21</f>
        <v>634.25</v>
      </c>
    </row>
    <row r="110" spans="1:83" ht="14.25" x14ac:dyDescent="0.2">
      <c r="A110" s="37"/>
      <c r="B110" s="37" t="s">
        <v>516</v>
      </c>
      <c r="C110" s="37" t="s">
        <v>837</v>
      </c>
      <c r="D110" s="38" t="s">
        <v>509</v>
      </c>
      <c r="E110" s="39">
        <f>SmtRes!DO21*SmtRes!AT21</f>
        <v>3.6</v>
      </c>
      <c r="F110" s="39">
        <f t="shared" si="2"/>
        <v>0.7</v>
      </c>
      <c r="G110" s="39">
        <f>SmtRes!DO21*SmtRes!CX21</f>
        <v>0.29090880000000002</v>
      </c>
      <c r="H110" s="41"/>
      <c r="I110" s="40"/>
      <c r="J110" s="41">
        <f>ROUND(SmtRes!AG21/SmtRes!DO21, 2)</f>
        <v>658.94</v>
      </c>
      <c r="K110" s="40"/>
      <c r="L110" s="41">
        <f>SmtRes!DH21</f>
        <v>191.69</v>
      </c>
      <c r="CE110">
        <v>1</v>
      </c>
    </row>
    <row r="111" spans="1:83" ht="14.25" x14ac:dyDescent="0.2">
      <c r="A111" s="37"/>
      <c r="B111" s="37" t="s">
        <v>520</v>
      </c>
      <c r="C111" s="37" t="s">
        <v>522</v>
      </c>
      <c r="D111" s="38" t="s">
        <v>515</v>
      </c>
      <c r="E111" s="39">
        <v>0.19</v>
      </c>
      <c r="F111" s="39">
        <f t="shared" si="2"/>
        <v>0.7</v>
      </c>
      <c r="G111" s="39">
        <f>SmtRes!CX22</f>
        <v>1.5353500000000001E-2</v>
      </c>
      <c r="H111" s="41">
        <f>SmtRes!CZ22</f>
        <v>477.92</v>
      </c>
      <c r="I111" s="40">
        <f>SmtRes!AJ22</f>
        <v>1.21</v>
      </c>
      <c r="J111" s="41">
        <f>ROUND(H111*I111, 2)</f>
        <v>578.28</v>
      </c>
      <c r="K111" s="40"/>
      <c r="L111" s="41">
        <f>SmtRes!DG22</f>
        <v>8.8800000000000008</v>
      </c>
    </row>
    <row r="112" spans="1:83" ht="14.25" x14ac:dyDescent="0.2">
      <c r="A112" s="37"/>
      <c r="B112" s="37" t="s">
        <v>523</v>
      </c>
      <c r="C112" s="37" t="s">
        <v>838</v>
      </c>
      <c r="D112" s="38" t="s">
        <v>509</v>
      </c>
      <c r="E112" s="39">
        <f>SmtRes!DO22*SmtRes!AT22</f>
        <v>0.19</v>
      </c>
      <c r="F112" s="39">
        <f t="shared" si="2"/>
        <v>0.7</v>
      </c>
      <c r="G112" s="39">
        <f>SmtRes!DO22*SmtRes!CX22</f>
        <v>1.5353500000000001E-2</v>
      </c>
      <c r="H112" s="41"/>
      <c r="I112" s="40"/>
      <c r="J112" s="41">
        <f>ROUND(SmtRes!AG22/SmtRes!DO22, 2)</f>
        <v>490.55</v>
      </c>
      <c r="K112" s="40"/>
      <c r="L112" s="41">
        <f>SmtRes!DH22</f>
        <v>7.53</v>
      </c>
      <c r="CE112">
        <v>1</v>
      </c>
    </row>
    <row r="113" spans="1:12" ht="14.25" x14ac:dyDescent="0.2">
      <c r="A113" s="37"/>
      <c r="B113" s="37" t="s">
        <v>537</v>
      </c>
      <c r="C113" s="37" t="s">
        <v>539</v>
      </c>
      <c r="D113" s="38" t="s">
        <v>515</v>
      </c>
      <c r="E113" s="39">
        <v>1.46</v>
      </c>
      <c r="F113" s="39">
        <f t="shared" si="2"/>
        <v>0.7</v>
      </c>
      <c r="G113" s="39">
        <f>SmtRes!CX23</f>
        <v>0.11797970000000001</v>
      </c>
      <c r="H113" s="41">
        <f>SmtRes!CZ23</f>
        <v>4.3499999999999996</v>
      </c>
      <c r="I113" s="40">
        <f>SmtRes!AJ23</f>
        <v>1.23</v>
      </c>
      <c r="J113" s="41">
        <f>ROUND(H113*I113, 2)</f>
        <v>5.35</v>
      </c>
      <c r="K113" s="40"/>
      <c r="L113" s="41">
        <f>SmtRes!DG23</f>
        <v>0.63</v>
      </c>
    </row>
    <row r="114" spans="1:12" ht="28.5" x14ac:dyDescent="0.2">
      <c r="A114" s="37"/>
      <c r="B114" s="37" t="s">
        <v>540</v>
      </c>
      <c r="C114" s="37" t="s">
        <v>542</v>
      </c>
      <c r="D114" s="38" t="s">
        <v>515</v>
      </c>
      <c r="E114" s="39">
        <v>0.1</v>
      </c>
      <c r="F114" s="39">
        <f t="shared" si="2"/>
        <v>0.7</v>
      </c>
      <c r="G114" s="39">
        <f>SmtRes!CX24</f>
        <v>8.0808000000000008E-3</v>
      </c>
      <c r="H114" s="41"/>
      <c r="I114" s="40"/>
      <c r="J114" s="41">
        <f>SmtRes!CZ24</f>
        <v>61.72</v>
      </c>
      <c r="K114" s="40"/>
      <c r="L114" s="41">
        <f>SmtRes!DG24</f>
        <v>0.5</v>
      </c>
    </row>
    <row r="115" spans="1:12" ht="15" x14ac:dyDescent="0.2">
      <c r="A115" s="36"/>
      <c r="B115" s="39">
        <v>4</v>
      </c>
      <c r="C115" s="36" t="s">
        <v>840</v>
      </c>
      <c r="D115" s="38"/>
      <c r="E115" s="43"/>
      <c r="F115" s="39"/>
      <c r="G115" s="43"/>
      <c r="H115" s="39"/>
      <c r="I115" s="39"/>
      <c r="J115" s="39"/>
      <c r="K115" s="39"/>
      <c r="L115" s="44">
        <f>SUM(L116:L128)-SUMIF(CE116:CE128, 1, L116:L128)</f>
        <v>0</v>
      </c>
    </row>
    <row r="116" spans="1:12" ht="14.25" x14ac:dyDescent="0.2">
      <c r="A116" s="37"/>
      <c r="B116" s="37" t="s">
        <v>543</v>
      </c>
      <c r="C116" s="37" t="s">
        <v>545</v>
      </c>
      <c r="D116" s="38" t="s">
        <v>129</v>
      </c>
      <c r="E116" s="39">
        <v>1.2</v>
      </c>
      <c r="F116" s="39">
        <f t="shared" ref="F116:F128" si="3">ROUND(0,7)</f>
        <v>0</v>
      </c>
      <c r="G116" s="39">
        <f>SmtRes!CX25</f>
        <v>0</v>
      </c>
      <c r="H116" s="41">
        <f>SmtRes!CZ25</f>
        <v>114.64</v>
      </c>
      <c r="I116" s="40">
        <f>SmtRes!AI25</f>
        <v>0.79</v>
      </c>
      <c r="J116" s="41">
        <f t="shared" ref="J116:J128" si="4">ROUND(H116*I116, 2)</f>
        <v>90.57</v>
      </c>
      <c r="K116" s="40"/>
      <c r="L116" s="41">
        <f>SmtRes!DF25</f>
        <v>0</v>
      </c>
    </row>
    <row r="117" spans="1:12" ht="14.25" x14ac:dyDescent="0.2">
      <c r="A117" s="37"/>
      <c r="B117" s="37" t="s">
        <v>546</v>
      </c>
      <c r="C117" s="37" t="s">
        <v>548</v>
      </c>
      <c r="D117" s="38" t="s">
        <v>549</v>
      </c>
      <c r="E117" s="39">
        <v>0.36</v>
      </c>
      <c r="F117" s="39">
        <f t="shared" si="3"/>
        <v>0</v>
      </c>
      <c r="G117" s="39">
        <f>SmtRes!CX26</f>
        <v>0</v>
      </c>
      <c r="H117" s="41">
        <f>SmtRes!CZ26</f>
        <v>41.38</v>
      </c>
      <c r="I117" s="40">
        <f>SmtRes!AI26</f>
        <v>1.21</v>
      </c>
      <c r="J117" s="41">
        <f t="shared" si="4"/>
        <v>50.07</v>
      </c>
      <c r="K117" s="40"/>
      <c r="L117" s="41">
        <f>SmtRes!DF26</f>
        <v>0</v>
      </c>
    </row>
    <row r="118" spans="1:12" ht="42.75" x14ac:dyDescent="0.2">
      <c r="A118" s="37"/>
      <c r="B118" s="37" t="s">
        <v>550</v>
      </c>
      <c r="C118" s="37" t="s">
        <v>552</v>
      </c>
      <c r="D118" s="38" t="s">
        <v>549</v>
      </c>
      <c r="E118" s="39">
        <v>0.44</v>
      </c>
      <c r="F118" s="39">
        <f t="shared" si="3"/>
        <v>0</v>
      </c>
      <c r="G118" s="39">
        <f>SmtRes!CX27</f>
        <v>0</v>
      </c>
      <c r="H118" s="41">
        <f>SmtRes!CZ27</f>
        <v>155.63</v>
      </c>
      <c r="I118" s="40">
        <f>SmtRes!AI27</f>
        <v>0.95</v>
      </c>
      <c r="J118" s="41">
        <f t="shared" si="4"/>
        <v>147.85</v>
      </c>
      <c r="K118" s="40"/>
      <c r="L118" s="41">
        <f>SmtRes!DF27</f>
        <v>0</v>
      </c>
    </row>
    <row r="119" spans="1:12" ht="14.25" x14ac:dyDescent="0.2">
      <c r="A119" s="37"/>
      <c r="B119" s="37" t="s">
        <v>553</v>
      </c>
      <c r="C119" s="37" t="s">
        <v>555</v>
      </c>
      <c r="D119" s="38" t="s">
        <v>549</v>
      </c>
      <c r="E119" s="39">
        <v>21</v>
      </c>
      <c r="F119" s="39">
        <f t="shared" si="3"/>
        <v>0</v>
      </c>
      <c r="G119" s="39">
        <f>SmtRes!CX28</f>
        <v>0</v>
      </c>
      <c r="H119" s="41">
        <f>SmtRes!CZ28</f>
        <v>174.93</v>
      </c>
      <c r="I119" s="40">
        <f>SmtRes!AI28</f>
        <v>1.1499999999999999</v>
      </c>
      <c r="J119" s="41">
        <f t="shared" si="4"/>
        <v>201.17</v>
      </c>
      <c r="K119" s="40"/>
      <c r="L119" s="41">
        <f>SmtRes!DF28</f>
        <v>0</v>
      </c>
    </row>
    <row r="120" spans="1:12" ht="14.25" x14ac:dyDescent="0.2">
      <c r="A120" s="37"/>
      <c r="B120" s="37" t="s">
        <v>556</v>
      </c>
      <c r="C120" s="37" t="s">
        <v>558</v>
      </c>
      <c r="D120" s="38" t="s">
        <v>94</v>
      </c>
      <c r="E120" s="39">
        <v>1.0000000000000001E-5</v>
      </c>
      <c r="F120" s="39">
        <f t="shared" si="3"/>
        <v>0</v>
      </c>
      <c r="G120" s="39">
        <f>SmtRes!CX29</f>
        <v>0</v>
      </c>
      <c r="H120" s="41">
        <f>SmtRes!CZ29</f>
        <v>70296.2</v>
      </c>
      <c r="I120" s="40">
        <f>SmtRes!AI29</f>
        <v>1.25</v>
      </c>
      <c r="J120" s="41">
        <f t="shared" si="4"/>
        <v>87870.25</v>
      </c>
      <c r="K120" s="40"/>
      <c r="L120" s="41">
        <f>SmtRes!DF29</f>
        <v>0</v>
      </c>
    </row>
    <row r="121" spans="1:12" ht="28.5" x14ac:dyDescent="0.2">
      <c r="A121" s="37"/>
      <c r="B121" s="37" t="s">
        <v>559</v>
      </c>
      <c r="C121" s="37" t="s">
        <v>561</v>
      </c>
      <c r="D121" s="38" t="s">
        <v>94</v>
      </c>
      <c r="E121" s="39">
        <v>1E-4</v>
      </c>
      <c r="F121" s="39">
        <f t="shared" si="3"/>
        <v>0</v>
      </c>
      <c r="G121" s="39">
        <f>SmtRes!CX30</f>
        <v>0</v>
      </c>
      <c r="H121" s="41">
        <f>SmtRes!CZ30</f>
        <v>231787.35</v>
      </c>
      <c r="I121" s="40">
        <f>SmtRes!AI30</f>
        <v>1.39</v>
      </c>
      <c r="J121" s="41">
        <f t="shared" si="4"/>
        <v>322184.42</v>
      </c>
      <c r="K121" s="40"/>
      <c r="L121" s="41">
        <f>SmtRes!DF30</f>
        <v>0</v>
      </c>
    </row>
    <row r="122" spans="1:12" ht="28.5" x14ac:dyDescent="0.2">
      <c r="A122" s="37"/>
      <c r="B122" s="37" t="s">
        <v>564</v>
      </c>
      <c r="C122" s="37" t="s">
        <v>566</v>
      </c>
      <c r="D122" s="38" t="s">
        <v>94</v>
      </c>
      <c r="E122" s="39">
        <v>2.0000000000000001E-4</v>
      </c>
      <c r="F122" s="39">
        <f t="shared" si="3"/>
        <v>0</v>
      </c>
      <c r="G122" s="39">
        <f>SmtRes!CX32</f>
        <v>0</v>
      </c>
      <c r="H122" s="41">
        <f>SmtRes!CZ32</f>
        <v>105278.81</v>
      </c>
      <c r="I122" s="40">
        <f>SmtRes!AI32</f>
        <v>1.2</v>
      </c>
      <c r="J122" s="41">
        <f t="shared" si="4"/>
        <v>126334.57</v>
      </c>
      <c r="K122" s="40"/>
      <c r="L122" s="41">
        <f>SmtRes!DF32</f>
        <v>0</v>
      </c>
    </row>
    <row r="123" spans="1:12" ht="57" x14ac:dyDescent="0.2">
      <c r="A123" s="37"/>
      <c r="B123" s="37" t="s">
        <v>567</v>
      </c>
      <c r="C123" s="37" t="s">
        <v>569</v>
      </c>
      <c r="D123" s="38" t="s">
        <v>570</v>
      </c>
      <c r="E123" s="39">
        <v>1.8700000000000001E-2</v>
      </c>
      <c r="F123" s="39">
        <f t="shared" si="3"/>
        <v>0</v>
      </c>
      <c r="G123" s="39">
        <f>SmtRes!CX33</f>
        <v>0</v>
      </c>
      <c r="H123" s="41">
        <f>SmtRes!CZ33</f>
        <v>307.83999999999997</v>
      </c>
      <c r="I123" s="40">
        <f>SmtRes!AI33</f>
        <v>0.98</v>
      </c>
      <c r="J123" s="41">
        <f t="shared" si="4"/>
        <v>301.68</v>
      </c>
      <c r="K123" s="40"/>
      <c r="L123" s="41">
        <f>SmtRes!DF33</f>
        <v>0</v>
      </c>
    </row>
    <row r="124" spans="1:12" ht="28.5" x14ac:dyDescent="0.2">
      <c r="A124" s="37"/>
      <c r="B124" s="37" t="s">
        <v>571</v>
      </c>
      <c r="C124" s="37" t="s">
        <v>573</v>
      </c>
      <c r="D124" s="38" t="s">
        <v>94</v>
      </c>
      <c r="E124" s="39">
        <v>3.0000000000000001E-5</v>
      </c>
      <c r="F124" s="39">
        <f t="shared" si="3"/>
        <v>0</v>
      </c>
      <c r="G124" s="39">
        <f>SmtRes!CX34</f>
        <v>0</v>
      </c>
      <c r="H124" s="41">
        <f>SmtRes!CZ34</f>
        <v>60258.2</v>
      </c>
      <c r="I124" s="40">
        <f>SmtRes!AI34</f>
        <v>1.06</v>
      </c>
      <c r="J124" s="41">
        <f t="shared" si="4"/>
        <v>63873.69</v>
      </c>
      <c r="K124" s="40"/>
      <c r="L124" s="41">
        <f>SmtRes!DF34</f>
        <v>0</v>
      </c>
    </row>
    <row r="125" spans="1:12" ht="28.5" x14ac:dyDescent="0.2">
      <c r="A125" s="37"/>
      <c r="B125" s="37" t="s">
        <v>574</v>
      </c>
      <c r="C125" s="37" t="s">
        <v>576</v>
      </c>
      <c r="D125" s="38" t="s">
        <v>94</v>
      </c>
      <c r="E125" s="39">
        <v>1.9400000000000001E-3</v>
      </c>
      <c r="F125" s="39">
        <f t="shared" si="3"/>
        <v>0</v>
      </c>
      <c r="G125" s="39">
        <f>SmtRes!CX35</f>
        <v>0</v>
      </c>
      <c r="H125" s="41">
        <f>SmtRes!CZ35</f>
        <v>136760</v>
      </c>
      <c r="I125" s="40">
        <f>SmtRes!AI35</f>
        <v>1.1200000000000001</v>
      </c>
      <c r="J125" s="41">
        <f t="shared" si="4"/>
        <v>153171.20000000001</v>
      </c>
      <c r="K125" s="40"/>
      <c r="L125" s="41">
        <f>SmtRes!DF35</f>
        <v>0</v>
      </c>
    </row>
    <row r="126" spans="1:12" ht="42.75" x14ac:dyDescent="0.2">
      <c r="A126" s="37"/>
      <c r="B126" s="37" t="s">
        <v>577</v>
      </c>
      <c r="C126" s="37" t="s">
        <v>579</v>
      </c>
      <c r="D126" s="38" t="s">
        <v>129</v>
      </c>
      <c r="E126" s="39">
        <v>1.0300000000000001E-3</v>
      </c>
      <c r="F126" s="39">
        <f t="shared" si="3"/>
        <v>0</v>
      </c>
      <c r="G126" s="39">
        <f>SmtRes!CX36</f>
        <v>0</v>
      </c>
      <c r="H126" s="41">
        <f>SmtRes!CZ36</f>
        <v>16496.03</v>
      </c>
      <c r="I126" s="40">
        <f>SmtRes!AI36</f>
        <v>0.78</v>
      </c>
      <c r="J126" s="41">
        <f t="shared" si="4"/>
        <v>12866.9</v>
      </c>
      <c r="K126" s="40"/>
      <c r="L126" s="41">
        <f>SmtRes!DF36</f>
        <v>0</v>
      </c>
    </row>
    <row r="127" spans="1:12" ht="14.25" x14ac:dyDescent="0.2">
      <c r="A127" s="37"/>
      <c r="B127" s="37" t="s">
        <v>580</v>
      </c>
      <c r="C127" s="37" t="s">
        <v>582</v>
      </c>
      <c r="D127" s="38" t="s">
        <v>94</v>
      </c>
      <c r="E127" s="39">
        <v>3.1E-4</v>
      </c>
      <c r="F127" s="39">
        <f t="shared" si="3"/>
        <v>0</v>
      </c>
      <c r="G127" s="39">
        <f>SmtRes!CX37</f>
        <v>0</v>
      </c>
      <c r="H127" s="41">
        <f>SmtRes!CZ37</f>
        <v>51280.15</v>
      </c>
      <c r="I127" s="40">
        <f>SmtRes!AI37</f>
        <v>1.48</v>
      </c>
      <c r="J127" s="41">
        <f t="shared" si="4"/>
        <v>75894.62</v>
      </c>
      <c r="K127" s="40"/>
      <c r="L127" s="41">
        <f>SmtRes!DF37</f>
        <v>0</v>
      </c>
    </row>
    <row r="128" spans="1:12" ht="14.25" x14ac:dyDescent="0.2">
      <c r="A128" s="37"/>
      <c r="B128" s="37" t="s">
        <v>583</v>
      </c>
      <c r="C128" s="45" t="s">
        <v>585</v>
      </c>
      <c r="D128" s="46" t="s">
        <v>94</v>
      </c>
      <c r="E128" s="47">
        <v>5.9999999999999995E-4</v>
      </c>
      <c r="F128" s="47">
        <f t="shared" si="3"/>
        <v>0</v>
      </c>
      <c r="G128" s="47">
        <f>SmtRes!CX38</f>
        <v>0</v>
      </c>
      <c r="H128" s="48">
        <f>SmtRes!CZ38</f>
        <v>98526.45</v>
      </c>
      <c r="I128" s="49">
        <f>SmtRes!AI38</f>
        <v>1.27</v>
      </c>
      <c r="J128" s="48">
        <f t="shared" si="4"/>
        <v>125128.59</v>
      </c>
      <c r="K128" s="49"/>
      <c r="L128" s="48">
        <f>SmtRes!DF38</f>
        <v>0</v>
      </c>
    </row>
    <row r="129" spans="1:82" ht="15" x14ac:dyDescent="0.2">
      <c r="A129" s="37"/>
      <c r="B129" s="37"/>
      <c r="C129" s="51" t="s">
        <v>841</v>
      </c>
      <c r="D129" s="38"/>
      <c r="E129" s="39"/>
      <c r="F129" s="39"/>
      <c r="G129" s="39"/>
      <c r="H129" s="41"/>
      <c r="I129" s="40"/>
      <c r="J129" s="41"/>
      <c r="K129" s="40"/>
      <c r="L129" s="41">
        <f>L101+L103+L104+L115</f>
        <v>2316.27</v>
      </c>
    </row>
    <row r="130" spans="1:82" ht="14.25" x14ac:dyDescent="0.2">
      <c r="A130" s="37"/>
      <c r="B130" s="37"/>
      <c r="C130" s="37" t="s">
        <v>842</v>
      </c>
      <c r="D130" s="38"/>
      <c r="E130" s="39"/>
      <c r="F130" s="39"/>
      <c r="G130" s="39"/>
      <c r="H130" s="41"/>
      <c r="I130" s="40"/>
      <c r="J130" s="41"/>
      <c r="K130" s="40"/>
      <c r="L130" s="41">
        <f>SUM(AR99:AR133)+SUM(AS99:AS133)+SUM(AT99:AT133)+SUM(AU99:AU133)+SUM(AV99:AV133)</f>
        <v>1638.3100000000002</v>
      </c>
    </row>
    <row r="131" spans="1:82" ht="14.25" x14ac:dyDescent="0.2">
      <c r="A131" s="37"/>
      <c r="B131" s="37" t="s">
        <v>102</v>
      </c>
      <c r="C131" s="37" t="s">
        <v>850</v>
      </c>
      <c r="D131" s="38" t="s">
        <v>669</v>
      </c>
      <c r="E131" s="39">
        <f>Source!BZ64</f>
        <v>93</v>
      </c>
      <c r="F131" s="39"/>
      <c r="G131" s="39">
        <f>Source!AT64</f>
        <v>93</v>
      </c>
      <c r="H131" s="41"/>
      <c r="I131" s="40"/>
      <c r="J131" s="41"/>
      <c r="K131" s="40"/>
      <c r="L131" s="41">
        <f>SUM(AZ99:AZ133)</f>
        <v>1523.63</v>
      </c>
    </row>
    <row r="132" spans="1:82" ht="14.25" x14ac:dyDescent="0.2">
      <c r="A132" s="45"/>
      <c r="B132" s="45" t="s">
        <v>103</v>
      </c>
      <c r="C132" s="45" t="s">
        <v>851</v>
      </c>
      <c r="D132" s="46" t="s">
        <v>669</v>
      </c>
      <c r="E132" s="47">
        <f>Source!CA64</f>
        <v>62</v>
      </c>
      <c r="F132" s="47"/>
      <c r="G132" s="47">
        <f>Source!AU64</f>
        <v>62</v>
      </c>
      <c r="H132" s="48"/>
      <c r="I132" s="49"/>
      <c r="J132" s="48"/>
      <c r="K132" s="49"/>
      <c r="L132" s="48">
        <f>SUM(BA99:BA133)</f>
        <v>1015.75</v>
      </c>
    </row>
    <row r="133" spans="1:82" ht="15" x14ac:dyDescent="0.2">
      <c r="C133" s="112" t="s">
        <v>845</v>
      </c>
      <c r="D133" s="112"/>
      <c r="E133" s="112"/>
      <c r="F133" s="112"/>
      <c r="G133" s="112"/>
      <c r="H133" s="112"/>
      <c r="I133" s="113">
        <f>K133/E99</f>
        <v>42062.110187110193</v>
      </c>
      <c r="J133" s="113"/>
      <c r="K133" s="113">
        <f>L101+L103+L115+L131+L132+L104</f>
        <v>4855.6500000000005</v>
      </c>
      <c r="L133" s="113"/>
      <c r="AD133">
        <f>ROUND((Source!AT64/100)*((ROUND(SUMIF(SmtRes!AQ17:'SmtRes'!AQ38,"=1",SmtRes!AD17:'SmtRes'!AD38)*Source!I64, 2)+ROUND(SUMIF(SmtRes!AQ17:'SmtRes'!AQ38,"=1",SmtRes!AC17:'SmtRes'!AC38)*Source!I64, 2))), 2)</f>
        <v>312.83999999999997</v>
      </c>
      <c r="AE133">
        <f>ROUND((Source!AU64/100)*((ROUND(SUMIF(SmtRes!AQ17:'SmtRes'!AQ38,"=1",SmtRes!AD17:'SmtRes'!AD38)*Source!I64, 2)+ROUND(SUMIF(SmtRes!AQ17:'SmtRes'!AQ38,"=1",SmtRes!AC17:'SmtRes'!AC38)*Source!I64, 2))), 2)</f>
        <v>208.56</v>
      </c>
      <c r="AN133" s="50">
        <f>L101+L103+L115+L131+L132+L104</f>
        <v>4855.6500000000005</v>
      </c>
      <c r="AO133" s="50">
        <f>L103</f>
        <v>677.96000000000026</v>
      </c>
      <c r="AQ133" t="s">
        <v>846</v>
      </c>
      <c r="AR133" s="50">
        <f>L101</f>
        <v>1427.38</v>
      </c>
      <c r="AT133" s="50">
        <f>L104</f>
        <v>210.93</v>
      </c>
      <c r="AV133" t="s">
        <v>846</v>
      </c>
      <c r="AW133" s="50">
        <f>L115</f>
        <v>0</v>
      </c>
      <c r="AZ133">
        <f>Source!X64</f>
        <v>1523.63</v>
      </c>
      <c r="BA133">
        <f>Source!Y64</f>
        <v>1015.75</v>
      </c>
      <c r="CD133">
        <v>1</v>
      </c>
    </row>
    <row r="134" spans="1:82" ht="14.25" x14ac:dyDescent="0.2">
      <c r="A134" s="35" t="s">
        <v>104</v>
      </c>
      <c r="B134" s="37" t="s">
        <v>852</v>
      </c>
      <c r="C134" s="37" t="str">
        <f>Source!G65</f>
        <v>Планировка участка: вручную</v>
      </c>
      <c r="D134" s="38" t="str">
        <f>Source!H65</f>
        <v>100 м2</v>
      </c>
      <c r="E134" s="39">
        <f>Source!K65</f>
        <v>0.4</v>
      </c>
      <c r="F134" s="39"/>
      <c r="G134" s="39">
        <f>Source!I65</f>
        <v>0.4</v>
      </c>
      <c r="H134" s="41"/>
      <c r="I134" s="40"/>
      <c r="J134" s="41"/>
      <c r="K134" s="40"/>
      <c r="L134" s="41"/>
    </row>
    <row r="135" spans="1:82" x14ac:dyDescent="0.2">
      <c r="C135" s="58" t="str">
        <f>"Объем: "&amp;Source!I65&amp;"=40/"&amp;"100"</f>
        <v>Объем: 0,4=40/100</v>
      </c>
    </row>
    <row r="136" spans="1:82" ht="15" x14ac:dyDescent="0.2">
      <c r="A136" s="36"/>
      <c r="B136" s="39">
        <v>1</v>
      </c>
      <c r="C136" s="36" t="s">
        <v>835</v>
      </c>
      <c r="D136" s="38" t="s">
        <v>509</v>
      </c>
      <c r="E136" s="43"/>
      <c r="F136" s="39"/>
      <c r="G136" s="43">
        <f>Source!U65</f>
        <v>4.08</v>
      </c>
      <c r="H136" s="39"/>
      <c r="I136" s="39"/>
      <c r="J136" s="39"/>
      <c r="K136" s="39"/>
      <c r="L136" s="44">
        <f>SUM(L137:L137)-SUMIF(CE137:CE137, 1, L137:L137)</f>
        <v>1628.04</v>
      </c>
    </row>
    <row r="137" spans="1:82" ht="14.25" x14ac:dyDescent="0.2">
      <c r="A137" s="37"/>
      <c r="B137" s="37" t="s">
        <v>586</v>
      </c>
      <c r="C137" s="45" t="s">
        <v>587</v>
      </c>
      <c r="D137" s="46" t="s">
        <v>509</v>
      </c>
      <c r="E137" s="47">
        <v>10.199999999999999</v>
      </c>
      <c r="F137" s="47"/>
      <c r="G137" s="47">
        <f>SmtRes!CX39</f>
        <v>4.08</v>
      </c>
      <c r="H137" s="48"/>
      <c r="I137" s="49"/>
      <c r="J137" s="48">
        <f>SmtRes!CZ39</f>
        <v>399.03</v>
      </c>
      <c r="K137" s="49"/>
      <c r="L137" s="48">
        <f>SmtRes!DI39</f>
        <v>1628.04</v>
      </c>
    </row>
    <row r="138" spans="1:82" ht="15" x14ac:dyDescent="0.2">
      <c r="A138" s="37"/>
      <c r="B138" s="37"/>
      <c r="C138" s="51" t="s">
        <v>841</v>
      </c>
      <c r="D138" s="38"/>
      <c r="E138" s="39"/>
      <c r="F138" s="39"/>
      <c r="G138" s="39"/>
      <c r="H138" s="41"/>
      <c r="I138" s="40"/>
      <c r="J138" s="41"/>
      <c r="K138" s="40"/>
      <c r="L138" s="41">
        <f>L136</f>
        <v>1628.04</v>
      </c>
    </row>
    <row r="139" spans="1:82" ht="14.25" x14ac:dyDescent="0.2">
      <c r="A139" s="37"/>
      <c r="B139" s="37"/>
      <c r="C139" s="37" t="s">
        <v>842</v>
      </c>
      <c r="D139" s="38"/>
      <c r="E139" s="39"/>
      <c r="F139" s="39"/>
      <c r="G139" s="39"/>
      <c r="H139" s="41"/>
      <c r="I139" s="40"/>
      <c r="J139" s="41"/>
      <c r="K139" s="40"/>
      <c r="L139" s="41">
        <f>SUM(AR134:AR142)+SUM(AS134:AS142)+SUM(AT134:AT142)+SUM(AU134:AU142)+SUM(AV134:AV142)</f>
        <v>1628.04</v>
      </c>
    </row>
    <row r="140" spans="1:82" ht="14.25" x14ac:dyDescent="0.2">
      <c r="A140" s="37"/>
      <c r="B140" s="37" t="s">
        <v>111</v>
      </c>
      <c r="C140" s="37" t="s">
        <v>853</v>
      </c>
      <c r="D140" s="38" t="s">
        <v>669</v>
      </c>
      <c r="E140" s="39">
        <f>Source!BZ65</f>
        <v>103</v>
      </c>
      <c r="F140" s="39"/>
      <c r="G140" s="39">
        <f>Source!AT65</f>
        <v>103</v>
      </c>
      <c r="H140" s="41"/>
      <c r="I140" s="40"/>
      <c r="J140" s="41"/>
      <c r="K140" s="40"/>
      <c r="L140" s="41">
        <f>SUM(AZ134:AZ142)</f>
        <v>1676.88</v>
      </c>
    </row>
    <row r="141" spans="1:82" ht="14.25" x14ac:dyDescent="0.2">
      <c r="A141" s="45"/>
      <c r="B141" s="45" t="s">
        <v>112</v>
      </c>
      <c r="C141" s="45" t="s">
        <v>854</v>
      </c>
      <c r="D141" s="46" t="s">
        <v>669</v>
      </c>
      <c r="E141" s="47">
        <f>Source!CA65</f>
        <v>72</v>
      </c>
      <c r="F141" s="47"/>
      <c r="G141" s="47">
        <f>Source!AU65</f>
        <v>72</v>
      </c>
      <c r="H141" s="48"/>
      <c r="I141" s="49"/>
      <c r="J141" s="48"/>
      <c r="K141" s="49"/>
      <c r="L141" s="48">
        <f>SUM(BA134:BA142)</f>
        <v>1172.19</v>
      </c>
    </row>
    <row r="142" spans="1:82" ht="15" x14ac:dyDescent="0.2">
      <c r="C142" s="112" t="s">
        <v>845</v>
      </c>
      <c r="D142" s="112"/>
      <c r="E142" s="112"/>
      <c r="F142" s="112"/>
      <c r="G142" s="112"/>
      <c r="H142" s="112"/>
      <c r="I142" s="113">
        <f>K142/E134</f>
        <v>11192.775000000001</v>
      </c>
      <c r="J142" s="113"/>
      <c r="K142" s="113">
        <f>L136+L140+L141</f>
        <v>4477.1100000000006</v>
      </c>
      <c r="L142" s="113"/>
      <c r="AD142">
        <f>ROUND((Source!AT65/100)*((ROUND(SUMIF(SmtRes!AQ39:'SmtRes'!AQ39,"=1",SmtRes!AD39:'SmtRes'!AD39)*Source!I65, 2)+ROUND(SUMIF(SmtRes!AQ39:'SmtRes'!AQ39,"=1",SmtRes!AC39:'SmtRes'!AC39)*Source!I65, 2))), 2)</f>
        <v>164.4</v>
      </c>
      <c r="AE142">
        <f>ROUND((Source!AU65/100)*((ROUND(SUMIF(SmtRes!AQ39:'SmtRes'!AQ39,"=1",SmtRes!AD39:'SmtRes'!AD39)*Source!I65, 2)+ROUND(SUMIF(SmtRes!AQ39:'SmtRes'!AQ39,"=1",SmtRes!AC39:'SmtRes'!AC39)*Source!I65, 2))), 2)</f>
        <v>114.92</v>
      </c>
      <c r="AN142" s="50">
        <f>L136+L140+L141</f>
        <v>4477.1100000000006</v>
      </c>
      <c r="AO142">
        <f>0</f>
        <v>0</v>
      </c>
      <c r="AQ142" t="s">
        <v>846</v>
      </c>
      <c r="AR142" s="50">
        <f>L136</f>
        <v>1628.04</v>
      </c>
      <c r="AT142">
        <f>0</f>
        <v>0</v>
      </c>
      <c r="AV142" t="s">
        <v>846</v>
      </c>
      <c r="AW142">
        <f>0</f>
        <v>0</v>
      </c>
      <c r="AZ142">
        <f>Source!X65</f>
        <v>1676.88</v>
      </c>
      <c r="BA142">
        <f>Source!Y65</f>
        <v>1172.19</v>
      </c>
      <c r="CD142">
        <v>1</v>
      </c>
    </row>
    <row r="143" spans="1:82" ht="42.75" x14ac:dyDescent="0.2">
      <c r="A143" s="35" t="s">
        <v>113</v>
      </c>
      <c r="B143" s="37" t="s">
        <v>855</v>
      </c>
      <c r="C143" s="37" t="str">
        <f>Source!G66</f>
        <v>Разработка грунта вручную в траншеях глубиной до 2 м без креплений с откосами, группа грунтов: 2</v>
      </c>
      <c r="D143" s="38" t="str">
        <f>Source!H66</f>
        <v>100 м3</v>
      </c>
      <c r="E143" s="39">
        <f>Source!K66</f>
        <v>0.04</v>
      </c>
      <c r="F143" s="39"/>
      <c r="G143" s="39">
        <f>Source!I66</f>
        <v>0.04</v>
      </c>
      <c r="H143" s="41"/>
      <c r="I143" s="40"/>
      <c r="J143" s="41"/>
      <c r="K143" s="40"/>
      <c r="L143" s="41"/>
    </row>
    <row r="144" spans="1:82" x14ac:dyDescent="0.2">
      <c r="B144" s="42" t="s">
        <v>781</v>
      </c>
      <c r="C144" s="110" t="s">
        <v>856</v>
      </c>
      <c r="D144" s="110"/>
      <c r="E144" s="110"/>
      <c r="F144" s="110"/>
      <c r="G144" s="110"/>
      <c r="H144" s="110"/>
      <c r="I144" s="110"/>
      <c r="J144" s="110"/>
      <c r="K144" s="110"/>
      <c r="L144" s="110"/>
    </row>
    <row r="145" spans="1:83" x14ac:dyDescent="0.2">
      <c r="C145" s="58" t="str">
        <f>"Объем: "&amp;Source!I66&amp;"=4/"&amp;"100"</f>
        <v>Объем: 0,04=4/100</v>
      </c>
    </row>
    <row r="146" spans="1:83" ht="15" x14ac:dyDescent="0.2">
      <c r="A146" s="36"/>
      <c r="B146" s="39">
        <v>1</v>
      </c>
      <c r="C146" s="36" t="s">
        <v>835</v>
      </c>
      <c r="D146" s="38" t="s">
        <v>509</v>
      </c>
      <c r="E146" s="43"/>
      <c r="F146" s="39"/>
      <c r="G146" s="43">
        <f>Source!U66</f>
        <v>7.0839999999999996</v>
      </c>
      <c r="H146" s="39"/>
      <c r="I146" s="39"/>
      <c r="J146" s="39"/>
      <c r="K146" s="39"/>
      <c r="L146" s="44">
        <f>SUM(L147:L147)-SUMIF(CE147:CE147, 1, L147:L147)</f>
        <v>2826.73</v>
      </c>
    </row>
    <row r="147" spans="1:83" ht="14.25" x14ac:dyDescent="0.2">
      <c r="A147" s="37"/>
      <c r="B147" s="37" t="s">
        <v>586</v>
      </c>
      <c r="C147" s="45" t="s">
        <v>587</v>
      </c>
      <c r="D147" s="46" t="s">
        <v>509</v>
      </c>
      <c r="E147" s="47">
        <v>154</v>
      </c>
      <c r="F147" s="47">
        <f>ROUND(1.15,7)</f>
        <v>1.1499999999999999</v>
      </c>
      <c r="G147" s="47">
        <f>SmtRes!CX40</f>
        <v>7.0839999999999996</v>
      </c>
      <c r="H147" s="48"/>
      <c r="I147" s="49"/>
      <c r="J147" s="48">
        <f>SmtRes!CZ40</f>
        <v>399.03</v>
      </c>
      <c r="K147" s="49"/>
      <c r="L147" s="48">
        <f>SmtRes!DI40</f>
        <v>2826.73</v>
      </c>
    </row>
    <row r="148" spans="1:83" ht="15" x14ac:dyDescent="0.2">
      <c r="A148" s="37"/>
      <c r="B148" s="37"/>
      <c r="C148" s="51" t="s">
        <v>841</v>
      </c>
      <c r="D148" s="38"/>
      <c r="E148" s="39"/>
      <c r="F148" s="39"/>
      <c r="G148" s="39"/>
      <c r="H148" s="41"/>
      <c r="I148" s="40"/>
      <c r="J148" s="41"/>
      <c r="K148" s="40"/>
      <c r="L148" s="41">
        <f>L146</f>
        <v>2826.73</v>
      </c>
    </row>
    <row r="149" spans="1:83" ht="14.25" x14ac:dyDescent="0.2">
      <c r="A149" s="37"/>
      <c r="B149" s="37"/>
      <c r="C149" s="37" t="s">
        <v>842</v>
      </c>
      <c r="D149" s="38"/>
      <c r="E149" s="39"/>
      <c r="F149" s="39"/>
      <c r="G149" s="39"/>
      <c r="H149" s="41"/>
      <c r="I149" s="40"/>
      <c r="J149" s="41"/>
      <c r="K149" s="40"/>
      <c r="L149" s="41">
        <f>SUM(AR143:AR152)+SUM(AS143:AS152)+SUM(AT143:AT152)+SUM(AU143:AU152)+SUM(AV143:AV152)</f>
        <v>2826.73</v>
      </c>
    </row>
    <row r="150" spans="1:83" ht="28.5" x14ac:dyDescent="0.2">
      <c r="A150" s="37"/>
      <c r="B150" s="37" t="s">
        <v>124</v>
      </c>
      <c r="C150" s="37" t="s">
        <v>857</v>
      </c>
      <c r="D150" s="38" t="s">
        <v>669</v>
      </c>
      <c r="E150" s="39">
        <f>Source!BZ66</f>
        <v>89</v>
      </c>
      <c r="F150" s="39"/>
      <c r="G150" s="39">
        <f>Source!AT66</f>
        <v>89</v>
      </c>
      <c r="H150" s="41"/>
      <c r="I150" s="40"/>
      <c r="J150" s="41"/>
      <c r="K150" s="40"/>
      <c r="L150" s="41">
        <f>SUM(AZ143:AZ152)</f>
        <v>2515.79</v>
      </c>
    </row>
    <row r="151" spans="1:83" ht="28.5" x14ac:dyDescent="0.2">
      <c r="A151" s="45"/>
      <c r="B151" s="45" t="s">
        <v>125</v>
      </c>
      <c r="C151" s="45" t="s">
        <v>858</v>
      </c>
      <c r="D151" s="46" t="s">
        <v>669</v>
      </c>
      <c r="E151" s="47">
        <f>Source!CA66</f>
        <v>40</v>
      </c>
      <c r="F151" s="47"/>
      <c r="G151" s="47">
        <f>Source!AU66</f>
        <v>40</v>
      </c>
      <c r="H151" s="48"/>
      <c r="I151" s="49"/>
      <c r="J151" s="48"/>
      <c r="K151" s="49"/>
      <c r="L151" s="48">
        <f>SUM(BA143:BA152)</f>
        <v>1130.69</v>
      </c>
    </row>
    <row r="152" spans="1:83" ht="15" x14ac:dyDescent="0.2">
      <c r="C152" s="112" t="s">
        <v>845</v>
      </c>
      <c r="D152" s="112"/>
      <c r="E152" s="112"/>
      <c r="F152" s="112"/>
      <c r="G152" s="112"/>
      <c r="H152" s="112"/>
      <c r="I152" s="113">
        <f>K152/E143</f>
        <v>161830.25000000003</v>
      </c>
      <c r="J152" s="113"/>
      <c r="K152" s="113">
        <f>L146+L150+L151</f>
        <v>6473.2100000000009</v>
      </c>
      <c r="L152" s="113"/>
      <c r="AD152">
        <f>ROUND((Source!AT66/100)*((ROUND(SUMIF(SmtRes!AQ40:'SmtRes'!AQ40,"=1",SmtRes!AD40:'SmtRes'!AD40)*Source!I66, 2)+ROUND(SUMIF(SmtRes!AQ40:'SmtRes'!AQ40,"=1",SmtRes!AC40:'SmtRes'!AC40)*Source!I66, 2))), 2)</f>
        <v>14.2</v>
      </c>
      <c r="AE152">
        <f>ROUND((Source!AU66/100)*((ROUND(SUMIF(SmtRes!AQ40:'SmtRes'!AQ40,"=1",SmtRes!AD40:'SmtRes'!AD40)*Source!I66, 2)+ROUND(SUMIF(SmtRes!AQ40:'SmtRes'!AQ40,"=1",SmtRes!AC40:'SmtRes'!AC40)*Source!I66, 2))), 2)</f>
        <v>6.38</v>
      </c>
      <c r="AN152" s="50">
        <f>L146+L150+L151</f>
        <v>6473.2100000000009</v>
      </c>
      <c r="AO152">
        <f>0</f>
        <v>0</v>
      </c>
      <c r="AQ152" t="s">
        <v>846</v>
      </c>
      <c r="AR152" s="50">
        <f>L146</f>
        <v>2826.73</v>
      </c>
      <c r="AT152">
        <f>0</f>
        <v>0</v>
      </c>
      <c r="AV152" t="s">
        <v>846</v>
      </c>
      <c r="AW152">
        <f>0</f>
        <v>0</v>
      </c>
      <c r="AZ152">
        <f>Source!X66</f>
        <v>2515.79</v>
      </c>
      <c r="BA152">
        <f>Source!Y66</f>
        <v>1130.69</v>
      </c>
      <c r="CD152">
        <v>1</v>
      </c>
    </row>
    <row r="153" spans="1:83" ht="28.5" x14ac:dyDescent="0.2">
      <c r="A153" s="35" t="s">
        <v>126</v>
      </c>
      <c r="B153" s="37" t="s">
        <v>859</v>
      </c>
      <c r="C153" s="37" t="str">
        <f>Source!G67</f>
        <v>Устройство основания под фундаменты: песчаного</v>
      </c>
      <c r="D153" s="38" t="str">
        <f>Source!H67</f>
        <v>м3</v>
      </c>
      <c r="E153" s="39">
        <f>Source!K67</f>
        <v>1.5</v>
      </c>
      <c r="F153" s="39"/>
      <c r="G153" s="39">
        <f>Source!I67</f>
        <v>1.5</v>
      </c>
      <c r="H153" s="41"/>
      <c r="I153" s="40"/>
      <c r="J153" s="41"/>
      <c r="K153" s="40"/>
      <c r="L153" s="41"/>
    </row>
    <row r="154" spans="1:83" ht="15" x14ac:dyDescent="0.2">
      <c r="A154" s="36"/>
      <c r="B154" s="39">
        <v>1</v>
      </c>
      <c r="C154" s="36" t="s">
        <v>835</v>
      </c>
      <c r="D154" s="38" t="s">
        <v>509</v>
      </c>
      <c r="E154" s="43"/>
      <c r="F154" s="39"/>
      <c r="G154" s="43">
        <f>Source!U67</f>
        <v>1.17</v>
      </c>
      <c r="H154" s="39"/>
      <c r="I154" s="39"/>
      <c r="J154" s="39"/>
      <c r="K154" s="39"/>
      <c r="L154" s="44">
        <f>SUM(L155:L155)-SUMIF(CE155:CE155, 1, L155:L155)</f>
        <v>475.43</v>
      </c>
    </row>
    <row r="155" spans="1:83" ht="14.25" x14ac:dyDescent="0.2">
      <c r="A155" s="37"/>
      <c r="B155" s="37" t="s">
        <v>588</v>
      </c>
      <c r="C155" s="37" t="s">
        <v>589</v>
      </c>
      <c r="D155" s="38" t="s">
        <v>509</v>
      </c>
      <c r="E155" s="39">
        <v>0.78</v>
      </c>
      <c r="F155" s="39"/>
      <c r="G155" s="39">
        <f>SmtRes!CX41</f>
        <v>1.17</v>
      </c>
      <c r="H155" s="41"/>
      <c r="I155" s="40"/>
      <c r="J155" s="41">
        <f>SmtRes!CZ41</f>
        <v>406.35</v>
      </c>
      <c r="K155" s="40"/>
      <c r="L155" s="41">
        <f>SmtRes!DI41</f>
        <v>475.43</v>
      </c>
    </row>
    <row r="156" spans="1:83" ht="15" x14ac:dyDescent="0.2">
      <c r="A156" s="36"/>
      <c r="B156" s="39">
        <v>2</v>
      </c>
      <c r="C156" s="36" t="s">
        <v>836</v>
      </c>
      <c r="D156" s="38"/>
      <c r="E156" s="43"/>
      <c r="F156" s="39"/>
      <c r="G156" s="43"/>
      <c r="H156" s="39"/>
      <c r="I156" s="39"/>
      <c r="J156" s="39"/>
      <c r="K156" s="39"/>
      <c r="L156" s="44">
        <f>SUM(L157:L160)-SUMIF(CE157:CE160, 1, L157:L160)</f>
        <v>140.19</v>
      </c>
    </row>
    <row r="157" spans="1:83" ht="15" x14ac:dyDescent="0.2">
      <c r="A157" s="36"/>
      <c r="B157" s="39"/>
      <c r="C157" s="36" t="s">
        <v>839</v>
      </c>
      <c r="D157" s="38" t="s">
        <v>509</v>
      </c>
      <c r="E157" s="43"/>
      <c r="F157" s="39"/>
      <c r="G157" s="43">
        <f>Source!V67</f>
        <v>0.105</v>
      </c>
      <c r="H157" s="39"/>
      <c r="I157" s="39"/>
      <c r="J157" s="39"/>
      <c r="K157" s="39"/>
      <c r="L157" s="44">
        <f>SUMIF(CE158:CE160, 1, L158:L160)</f>
        <v>59.19</v>
      </c>
      <c r="CE157">
        <v>1</v>
      </c>
    </row>
    <row r="158" spans="1:83" ht="57" x14ac:dyDescent="0.2">
      <c r="A158" s="37"/>
      <c r="B158" s="37" t="s">
        <v>590</v>
      </c>
      <c r="C158" s="37" t="s">
        <v>592</v>
      </c>
      <c r="D158" s="38" t="s">
        <v>515</v>
      </c>
      <c r="E158" s="39">
        <v>7.0000000000000007E-2</v>
      </c>
      <c r="F158" s="39"/>
      <c r="G158" s="39">
        <f>SmtRes!CX43</f>
        <v>0.105</v>
      </c>
      <c r="H158" s="41"/>
      <c r="I158" s="40"/>
      <c r="J158" s="41">
        <f>SmtRes!CZ43</f>
        <v>1246.67</v>
      </c>
      <c r="K158" s="40"/>
      <c r="L158" s="41">
        <f>SmtRes!DG43</f>
        <v>130.9</v>
      </c>
    </row>
    <row r="159" spans="1:83" ht="14.25" x14ac:dyDescent="0.2">
      <c r="A159" s="37"/>
      <c r="B159" s="37" t="s">
        <v>593</v>
      </c>
      <c r="C159" s="37" t="s">
        <v>860</v>
      </c>
      <c r="D159" s="38" t="s">
        <v>509</v>
      </c>
      <c r="E159" s="39">
        <f>SmtRes!DO43*SmtRes!AT43</f>
        <v>7.0000000000000007E-2</v>
      </c>
      <c r="F159" s="39"/>
      <c r="G159" s="39">
        <f>SmtRes!DO43*SmtRes!CX43</f>
        <v>0.105</v>
      </c>
      <c r="H159" s="41"/>
      <c r="I159" s="40"/>
      <c r="J159" s="41">
        <f>ROUND(SmtRes!AG43/SmtRes!DO43, 2)</f>
        <v>563.76</v>
      </c>
      <c r="K159" s="40"/>
      <c r="L159" s="41">
        <f>SmtRes!DH43</f>
        <v>59.19</v>
      </c>
      <c r="CE159">
        <v>1</v>
      </c>
    </row>
    <row r="160" spans="1:83" ht="28.5" x14ac:dyDescent="0.2">
      <c r="A160" s="37"/>
      <c r="B160" s="37" t="s">
        <v>594</v>
      </c>
      <c r="C160" s="37" t="s">
        <v>596</v>
      </c>
      <c r="D160" s="38" t="s">
        <v>515</v>
      </c>
      <c r="E160" s="39">
        <v>0.36</v>
      </c>
      <c r="F160" s="39"/>
      <c r="G160" s="39">
        <f>SmtRes!CX44</f>
        <v>0.54</v>
      </c>
      <c r="H160" s="41"/>
      <c r="I160" s="40"/>
      <c r="J160" s="41">
        <f>SmtRes!CZ44</f>
        <v>17.21</v>
      </c>
      <c r="K160" s="40"/>
      <c r="L160" s="41">
        <f>SmtRes!DG44</f>
        <v>9.2899999999999991</v>
      </c>
    </row>
    <row r="161" spans="1:83" ht="15" x14ac:dyDescent="0.2">
      <c r="A161" s="36"/>
      <c r="B161" s="39">
        <v>4</v>
      </c>
      <c r="C161" s="36" t="s">
        <v>840</v>
      </c>
      <c r="D161" s="38"/>
      <c r="E161" s="43"/>
      <c r="F161" s="39"/>
      <c r="G161" s="43"/>
      <c r="H161" s="39"/>
      <c r="I161" s="39"/>
      <c r="J161" s="39"/>
      <c r="K161" s="39"/>
      <c r="L161" s="44">
        <f>SUM(L162:L162)-SUMIF(CE162:CE162, 1, L162:L162)</f>
        <v>11.25</v>
      </c>
    </row>
    <row r="162" spans="1:83" ht="14.25" x14ac:dyDescent="0.2">
      <c r="A162" s="37"/>
      <c r="B162" s="37" t="s">
        <v>597</v>
      </c>
      <c r="C162" s="45" t="s">
        <v>599</v>
      </c>
      <c r="D162" s="46" t="s">
        <v>129</v>
      </c>
      <c r="E162" s="47">
        <v>0.15</v>
      </c>
      <c r="F162" s="47"/>
      <c r="G162" s="47">
        <f>SmtRes!CX45</f>
        <v>0.22500000000000001</v>
      </c>
      <c r="H162" s="48">
        <f>SmtRes!CZ45</f>
        <v>35.71</v>
      </c>
      <c r="I162" s="49">
        <f>SmtRes!AI45</f>
        <v>1.4</v>
      </c>
      <c r="J162" s="48">
        <f>ROUND(H162*I162, 2)</f>
        <v>49.99</v>
      </c>
      <c r="K162" s="49"/>
      <c r="L162" s="48">
        <f>SmtRes!DF45</f>
        <v>11.25</v>
      </c>
    </row>
    <row r="163" spans="1:83" ht="15" x14ac:dyDescent="0.2">
      <c r="A163" s="37"/>
      <c r="B163" s="37"/>
      <c r="C163" s="51" t="s">
        <v>841</v>
      </c>
      <c r="D163" s="38"/>
      <c r="E163" s="39"/>
      <c r="F163" s="39"/>
      <c r="G163" s="39"/>
      <c r="H163" s="41"/>
      <c r="I163" s="40"/>
      <c r="J163" s="41"/>
      <c r="K163" s="40"/>
      <c r="L163" s="41">
        <f>L154+L156+L157+L161</f>
        <v>686.06</v>
      </c>
    </row>
    <row r="164" spans="1:83" ht="28.5" x14ac:dyDescent="0.2">
      <c r="A164" s="35" t="s">
        <v>861</v>
      </c>
      <c r="B164" s="37" t="str">
        <f>Source!F68</f>
        <v>02.3.01.02-1118</v>
      </c>
      <c r="C164" s="37" t="str">
        <f>Source!G68</f>
        <v>Песок природный для строительных работ II класс, средний</v>
      </c>
      <c r="D164" s="38" t="str">
        <f>Source!H68</f>
        <v>м3</v>
      </c>
      <c r="E164" s="39">
        <f>SmtRes!AT47</f>
        <v>1.1001737</v>
      </c>
      <c r="F164" s="39"/>
      <c r="G164" s="39">
        <f>Source!I68</f>
        <v>1.6502605999999997</v>
      </c>
      <c r="H164" s="41">
        <f>Source!AL68+Source!AO68+Source!AM68+Source!AN68</f>
        <v>565.20000000000005</v>
      </c>
      <c r="I164" s="40">
        <f>IF(Source!BC68&lt;&gt; 0, Source!BC68, 1)</f>
        <v>1.93</v>
      </c>
      <c r="J164" s="41">
        <f>ROUND(H164*I164, 2)</f>
        <v>1090.8399999999999</v>
      </c>
      <c r="K164" s="40"/>
      <c r="L164" s="41">
        <f>Source!P68</f>
        <v>1800.17</v>
      </c>
      <c r="AD164">
        <f>ROUND((Source!AT68/100)*((ROUND(ROUND(Source!AO68,2)*Source!I68, 2)+ROUND(ROUND(Source!AN68,2)*Source!I68, 2))), 2)</f>
        <v>0</v>
      </c>
      <c r="AE164">
        <f>ROUND((Source!AU68/100)*((ROUND(ROUND(Source!AO68,2)*Source!I68, 2)+ROUND(ROUND(Source!AN68,2)*Source!I68, 2))), 2)</f>
        <v>0</v>
      </c>
      <c r="AN164">
        <f>L164</f>
        <v>1800.17</v>
      </c>
      <c r="AW164">
        <f>L164</f>
        <v>1800.17</v>
      </c>
      <c r="AZ164">
        <f>Source!X68</f>
        <v>0</v>
      </c>
      <c r="BA164">
        <f>Source!Y68</f>
        <v>0</v>
      </c>
      <c r="CD164">
        <v>1</v>
      </c>
    </row>
    <row r="165" spans="1:83" ht="14.25" x14ac:dyDescent="0.2">
      <c r="A165" s="37"/>
      <c r="B165" s="37"/>
      <c r="C165" s="37" t="s">
        <v>842</v>
      </c>
      <c r="D165" s="38"/>
      <c r="E165" s="39"/>
      <c r="F165" s="39"/>
      <c r="G165" s="39"/>
      <c r="H165" s="41"/>
      <c r="I165" s="40"/>
      <c r="J165" s="41"/>
      <c r="K165" s="40"/>
      <c r="L165" s="41">
        <f>SUM(AR153:AR168)+SUM(AS153:AS168)+SUM(AT153:AT168)+SUM(AU153:AU168)+SUM(AV153:AV168)</f>
        <v>534.62</v>
      </c>
    </row>
    <row r="166" spans="1:83" ht="14.25" x14ac:dyDescent="0.2">
      <c r="A166" s="37"/>
      <c r="B166" s="37" t="s">
        <v>133</v>
      </c>
      <c r="C166" s="37" t="s">
        <v>862</v>
      </c>
      <c r="D166" s="38" t="s">
        <v>669</v>
      </c>
      <c r="E166" s="39">
        <f>Source!BZ67</f>
        <v>110</v>
      </c>
      <c r="F166" s="39"/>
      <c r="G166" s="39">
        <f>Source!AT67</f>
        <v>110</v>
      </c>
      <c r="H166" s="41"/>
      <c r="I166" s="40"/>
      <c r="J166" s="41"/>
      <c r="K166" s="40"/>
      <c r="L166" s="41">
        <f>SUM(AZ153:AZ168)</f>
        <v>588.08000000000004</v>
      </c>
    </row>
    <row r="167" spans="1:83" ht="14.25" x14ac:dyDescent="0.2">
      <c r="A167" s="45"/>
      <c r="B167" s="45" t="s">
        <v>134</v>
      </c>
      <c r="C167" s="45" t="s">
        <v>863</v>
      </c>
      <c r="D167" s="46" t="s">
        <v>669</v>
      </c>
      <c r="E167" s="47">
        <f>Source!CA67</f>
        <v>69</v>
      </c>
      <c r="F167" s="47"/>
      <c r="G167" s="47">
        <f>Source!AU67</f>
        <v>69</v>
      </c>
      <c r="H167" s="48"/>
      <c r="I167" s="49"/>
      <c r="J167" s="48"/>
      <c r="K167" s="49"/>
      <c r="L167" s="48">
        <f>SUM(BA153:BA168)</f>
        <v>368.89</v>
      </c>
    </row>
    <row r="168" spans="1:83" ht="15" x14ac:dyDescent="0.2">
      <c r="C168" s="112" t="s">
        <v>845</v>
      </c>
      <c r="D168" s="112"/>
      <c r="E168" s="112"/>
      <c r="F168" s="112"/>
      <c r="G168" s="112"/>
      <c r="H168" s="112"/>
      <c r="I168" s="113">
        <f>K168/E153</f>
        <v>2295.4666666666667</v>
      </c>
      <c r="J168" s="113"/>
      <c r="K168" s="113">
        <f>L154+L156+L161+L166+L167+L157+SUM(L164:L164)</f>
        <v>3443.2000000000003</v>
      </c>
      <c r="L168" s="113"/>
      <c r="AD168">
        <f>ROUND((Source!AT67/100)*((ROUND(SUMIF(SmtRes!AQ41:'SmtRes'!AQ47,"=1",SmtRes!AD41:'SmtRes'!AD47)*Source!I67, 2)+ROUND(SUMIF(SmtRes!AQ41:'SmtRes'!AQ47,"=1",SmtRes!AC41:'SmtRes'!AC47)*Source!I67, 2))), 2)</f>
        <v>1600.69</v>
      </c>
      <c r="AE168">
        <f>ROUND((Source!AU67/100)*((ROUND(SUMIF(SmtRes!AQ41:'SmtRes'!AQ47,"=1",SmtRes!AD41:'SmtRes'!AD47)*Source!I67, 2)+ROUND(SUMIF(SmtRes!AQ41:'SmtRes'!AQ47,"=1",SmtRes!AC41:'SmtRes'!AC47)*Source!I67, 2))), 2)</f>
        <v>1004.07</v>
      </c>
      <c r="AN168" s="50">
        <f>L154+L156+L161+L166+L167+L157</f>
        <v>1643.0300000000002</v>
      </c>
      <c r="AO168" s="50">
        <f>L156</f>
        <v>140.19</v>
      </c>
      <c r="AQ168" t="s">
        <v>846</v>
      </c>
      <c r="AR168" s="50">
        <f>L154</f>
        <v>475.43</v>
      </c>
      <c r="AT168" s="50">
        <f>L157</f>
        <v>59.19</v>
      </c>
      <c r="AV168" t="s">
        <v>846</v>
      </c>
      <c r="AW168" s="50">
        <f>L161</f>
        <v>11.25</v>
      </c>
      <c r="AZ168">
        <f>Source!X67</f>
        <v>588.08000000000004</v>
      </c>
      <c r="BA168">
        <f>Source!Y67</f>
        <v>368.89</v>
      </c>
      <c r="CD168">
        <v>1</v>
      </c>
    </row>
    <row r="169" spans="1:83" ht="28.5" x14ac:dyDescent="0.2">
      <c r="A169" s="35" t="s">
        <v>139</v>
      </c>
      <c r="B169" s="37" t="s">
        <v>864</v>
      </c>
      <c r="C169" s="37" t="str">
        <f>Source!G69</f>
        <v>Устройство основания под фундаменты: щебеночного</v>
      </c>
      <c r="D169" s="38" t="str">
        <f>Source!H69</f>
        <v>м3</v>
      </c>
      <c r="E169" s="39">
        <f>Source!K69</f>
        <v>1.5</v>
      </c>
      <c r="F169" s="39"/>
      <c r="G169" s="39">
        <f>Source!I69</f>
        <v>1.5</v>
      </c>
      <c r="H169" s="41"/>
      <c r="I169" s="40"/>
      <c r="J169" s="41"/>
      <c r="K169" s="40"/>
      <c r="L169" s="41"/>
    </row>
    <row r="170" spans="1:83" ht="15" x14ac:dyDescent="0.2">
      <c r="A170" s="36"/>
      <c r="B170" s="39">
        <v>1</v>
      </c>
      <c r="C170" s="36" t="s">
        <v>835</v>
      </c>
      <c r="D170" s="38" t="s">
        <v>509</v>
      </c>
      <c r="E170" s="43"/>
      <c r="F170" s="39"/>
      <c r="G170" s="43">
        <f>Source!U69</f>
        <v>1.2749999999999999</v>
      </c>
      <c r="H170" s="39"/>
      <c r="I170" s="39"/>
      <c r="J170" s="39"/>
      <c r="K170" s="39"/>
      <c r="L170" s="44">
        <f>SUM(L171:L171)-SUMIF(CE171:CE171, 1, L171:L171)</f>
        <v>518.1</v>
      </c>
    </row>
    <row r="171" spans="1:83" ht="14.25" x14ac:dyDescent="0.2">
      <c r="A171" s="37"/>
      <c r="B171" s="37" t="s">
        <v>588</v>
      </c>
      <c r="C171" s="37" t="s">
        <v>589</v>
      </c>
      <c r="D171" s="38" t="s">
        <v>509</v>
      </c>
      <c r="E171" s="39">
        <v>0.85</v>
      </c>
      <c r="F171" s="39"/>
      <c r="G171" s="39">
        <f>SmtRes!CX48</f>
        <v>1.2749999999999999</v>
      </c>
      <c r="H171" s="41"/>
      <c r="I171" s="40"/>
      <c r="J171" s="41">
        <f>SmtRes!CZ48</f>
        <v>406.35</v>
      </c>
      <c r="K171" s="40"/>
      <c r="L171" s="41">
        <f>SmtRes!DI48</f>
        <v>518.1</v>
      </c>
    </row>
    <row r="172" spans="1:83" ht="15" x14ac:dyDescent="0.2">
      <c r="A172" s="36"/>
      <c r="B172" s="39">
        <v>2</v>
      </c>
      <c r="C172" s="36" t="s">
        <v>836</v>
      </c>
      <c r="D172" s="38"/>
      <c r="E172" s="43"/>
      <c r="F172" s="39"/>
      <c r="G172" s="43"/>
      <c r="H172" s="39"/>
      <c r="I172" s="39"/>
      <c r="J172" s="39"/>
      <c r="K172" s="39"/>
      <c r="L172" s="44">
        <f>SUM(L173:L176)-SUMIF(CE173:CE176, 1, L173:L176)</f>
        <v>141.23000000000002</v>
      </c>
    </row>
    <row r="173" spans="1:83" ht="15" x14ac:dyDescent="0.2">
      <c r="A173" s="36"/>
      <c r="B173" s="39"/>
      <c r="C173" s="36" t="s">
        <v>839</v>
      </c>
      <c r="D173" s="38" t="s">
        <v>509</v>
      </c>
      <c r="E173" s="43"/>
      <c r="F173" s="39"/>
      <c r="G173" s="43">
        <f>Source!V69</f>
        <v>0.105</v>
      </c>
      <c r="H173" s="39"/>
      <c r="I173" s="39"/>
      <c r="J173" s="39"/>
      <c r="K173" s="39"/>
      <c r="L173" s="44">
        <f>SUMIF(CE174:CE176, 1, L174:L176)</f>
        <v>59.19</v>
      </c>
      <c r="CE173">
        <v>1</v>
      </c>
    </row>
    <row r="174" spans="1:83" ht="57" x14ac:dyDescent="0.2">
      <c r="A174" s="37"/>
      <c r="B174" s="37" t="s">
        <v>590</v>
      </c>
      <c r="C174" s="37" t="s">
        <v>592</v>
      </c>
      <c r="D174" s="38" t="s">
        <v>515</v>
      </c>
      <c r="E174" s="39">
        <v>7.0000000000000007E-2</v>
      </c>
      <c r="F174" s="39"/>
      <c r="G174" s="39">
        <f>SmtRes!CX50</f>
        <v>0.105</v>
      </c>
      <c r="H174" s="41"/>
      <c r="I174" s="40"/>
      <c r="J174" s="41">
        <f>SmtRes!CZ50</f>
        <v>1246.67</v>
      </c>
      <c r="K174" s="40"/>
      <c r="L174" s="41">
        <f>SmtRes!DG50</f>
        <v>130.9</v>
      </c>
    </row>
    <row r="175" spans="1:83" ht="14.25" x14ac:dyDescent="0.2">
      <c r="A175" s="37"/>
      <c r="B175" s="37" t="s">
        <v>593</v>
      </c>
      <c r="C175" s="37" t="s">
        <v>860</v>
      </c>
      <c r="D175" s="38" t="s">
        <v>509</v>
      </c>
      <c r="E175" s="39">
        <f>SmtRes!DO50*SmtRes!AT50</f>
        <v>7.0000000000000007E-2</v>
      </c>
      <c r="F175" s="39"/>
      <c r="G175" s="39">
        <f>SmtRes!DO50*SmtRes!CX50</f>
        <v>0.105</v>
      </c>
      <c r="H175" s="41"/>
      <c r="I175" s="40"/>
      <c r="J175" s="41">
        <f>ROUND(SmtRes!AG50/SmtRes!DO50, 2)</f>
        <v>563.76</v>
      </c>
      <c r="K175" s="40"/>
      <c r="L175" s="41">
        <f>SmtRes!DH50</f>
        <v>59.19</v>
      </c>
      <c r="CE175">
        <v>1</v>
      </c>
    </row>
    <row r="176" spans="1:83" ht="28.5" x14ac:dyDescent="0.2">
      <c r="A176" s="37"/>
      <c r="B176" s="37" t="s">
        <v>594</v>
      </c>
      <c r="C176" s="37" t="s">
        <v>596</v>
      </c>
      <c r="D176" s="38" t="s">
        <v>515</v>
      </c>
      <c r="E176" s="39">
        <v>0.4</v>
      </c>
      <c r="F176" s="39"/>
      <c r="G176" s="39">
        <f>SmtRes!CX51</f>
        <v>0.6</v>
      </c>
      <c r="H176" s="41"/>
      <c r="I176" s="40"/>
      <c r="J176" s="41">
        <f>SmtRes!CZ51</f>
        <v>17.21</v>
      </c>
      <c r="K176" s="40"/>
      <c r="L176" s="41">
        <f>SmtRes!DG51</f>
        <v>10.33</v>
      </c>
    </row>
    <row r="177" spans="1:83" ht="15" x14ac:dyDescent="0.2">
      <c r="A177" s="36"/>
      <c r="B177" s="39">
        <v>4</v>
      </c>
      <c r="C177" s="36" t="s">
        <v>840</v>
      </c>
      <c r="D177" s="38"/>
      <c r="E177" s="43"/>
      <c r="F177" s="39"/>
      <c r="G177" s="43"/>
      <c r="H177" s="39"/>
      <c r="I177" s="39"/>
      <c r="J177" s="39"/>
      <c r="K177" s="39"/>
      <c r="L177" s="44">
        <f>SUM(L178:L178)-SUMIF(CE178:CE178, 1, L178:L178)</f>
        <v>11.25</v>
      </c>
    </row>
    <row r="178" spans="1:83" ht="14.25" x14ac:dyDescent="0.2">
      <c r="A178" s="37"/>
      <c r="B178" s="37" t="s">
        <v>597</v>
      </c>
      <c r="C178" s="45" t="s">
        <v>599</v>
      </c>
      <c r="D178" s="46" t="s">
        <v>129</v>
      </c>
      <c r="E178" s="47">
        <v>0.15</v>
      </c>
      <c r="F178" s="47"/>
      <c r="G178" s="47">
        <f>SmtRes!CX52</f>
        <v>0.22500000000000001</v>
      </c>
      <c r="H178" s="48">
        <f>SmtRes!CZ52</f>
        <v>35.71</v>
      </c>
      <c r="I178" s="49">
        <f>SmtRes!AI52</f>
        <v>1.4</v>
      </c>
      <c r="J178" s="48">
        <f>ROUND(H178*I178, 2)</f>
        <v>49.99</v>
      </c>
      <c r="K178" s="49"/>
      <c r="L178" s="48">
        <f>SmtRes!DF52</f>
        <v>11.25</v>
      </c>
    </row>
    <row r="179" spans="1:83" ht="15" x14ac:dyDescent="0.2">
      <c r="A179" s="37"/>
      <c r="B179" s="37"/>
      <c r="C179" s="51" t="s">
        <v>841</v>
      </c>
      <c r="D179" s="38"/>
      <c r="E179" s="39"/>
      <c r="F179" s="39"/>
      <c r="G179" s="39"/>
      <c r="H179" s="41"/>
      <c r="I179" s="40"/>
      <c r="J179" s="41"/>
      <c r="K179" s="40"/>
      <c r="L179" s="41">
        <f>L170+L172+L173+L177</f>
        <v>729.77</v>
      </c>
    </row>
    <row r="180" spans="1:83" ht="28.5" x14ac:dyDescent="0.2">
      <c r="A180" s="35" t="s">
        <v>865</v>
      </c>
      <c r="B180" s="37" t="str">
        <f>Source!F70</f>
        <v>02.2.05.04-2234</v>
      </c>
      <c r="C180" s="37" t="str">
        <f>Source!G70</f>
        <v>Щебень из гравия для строительных работ М 800, фракция 20-40 мм</v>
      </c>
      <c r="D180" s="38" t="str">
        <f>Source!H70</f>
        <v>м3</v>
      </c>
      <c r="E180" s="39">
        <f>SmtRes!AT54</f>
        <v>1.1515152</v>
      </c>
      <c r="F180" s="39"/>
      <c r="G180" s="39">
        <f>Source!I70</f>
        <v>1.7272727999999999</v>
      </c>
      <c r="H180" s="41">
        <f>Source!AL70+Source!AO70+Source!AM70+Source!AN70</f>
        <v>2184.44</v>
      </c>
      <c r="I180" s="40">
        <f>IF(Source!BC70&lt;&gt; 0, Source!BC70, 1)</f>
        <v>1.39</v>
      </c>
      <c r="J180" s="41">
        <f>ROUND(H180*I180, 2)</f>
        <v>3036.37</v>
      </c>
      <c r="K180" s="40"/>
      <c r="L180" s="41">
        <f>Source!P70</f>
        <v>5244.64</v>
      </c>
      <c r="AD180">
        <f>ROUND((Source!AT70/100)*((ROUND(ROUND(Source!AO70,2)*Source!I70, 2)+ROUND(ROUND(Source!AN70,2)*Source!I70, 2))), 2)</f>
        <v>0</v>
      </c>
      <c r="AE180">
        <f>ROUND((Source!AU70/100)*((ROUND(ROUND(Source!AO70,2)*Source!I70, 2)+ROUND(ROUND(Source!AN70,2)*Source!I70, 2))), 2)</f>
        <v>0</v>
      </c>
      <c r="AN180">
        <f>L180</f>
        <v>5244.64</v>
      </c>
      <c r="AW180">
        <f>L180</f>
        <v>5244.64</v>
      </c>
      <c r="AZ180">
        <f>Source!X70</f>
        <v>0</v>
      </c>
      <c r="BA180">
        <f>Source!Y70</f>
        <v>0</v>
      </c>
      <c r="CD180">
        <v>1</v>
      </c>
    </row>
    <row r="181" spans="1:83" ht="14.25" x14ac:dyDescent="0.2">
      <c r="A181" s="37"/>
      <c r="B181" s="37"/>
      <c r="C181" s="37" t="s">
        <v>842</v>
      </c>
      <c r="D181" s="38"/>
      <c r="E181" s="39"/>
      <c r="F181" s="39"/>
      <c r="G181" s="39"/>
      <c r="H181" s="41"/>
      <c r="I181" s="40"/>
      <c r="J181" s="41"/>
      <c r="K181" s="40"/>
      <c r="L181" s="41">
        <f>SUM(AR169:AR184)+SUM(AS169:AS184)+SUM(AT169:AT184)+SUM(AU169:AU184)+SUM(AV169:AV184)</f>
        <v>577.29</v>
      </c>
    </row>
    <row r="182" spans="1:83" ht="14.25" x14ac:dyDescent="0.2">
      <c r="A182" s="37"/>
      <c r="B182" s="37" t="s">
        <v>133</v>
      </c>
      <c r="C182" s="37" t="s">
        <v>862</v>
      </c>
      <c r="D182" s="38" t="s">
        <v>669</v>
      </c>
      <c r="E182" s="39">
        <f>Source!BZ69</f>
        <v>110</v>
      </c>
      <c r="F182" s="39"/>
      <c r="G182" s="39">
        <f>Source!AT69</f>
        <v>110</v>
      </c>
      <c r="H182" s="41"/>
      <c r="I182" s="40"/>
      <c r="J182" s="41"/>
      <c r="K182" s="40"/>
      <c r="L182" s="41">
        <f>SUM(AZ169:AZ184)</f>
        <v>635.02</v>
      </c>
    </row>
    <row r="183" spans="1:83" ht="14.25" x14ac:dyDescent="0.2">
      <c r="A183" s="45"/>
      <c r="B183" s="45" t="s">
        <v>134</v>
      </c>
      <c r="C183" s="45" t="s">
        <v>863</v>
      </c>
      <c r="D183" s="46" t="s">
        <v>669</v>
      </c>
      <c r="E183" s="47">
        <f>Source!CA69</f>
        <v>69</v>
      </c>
      <c r="F183" s="47"/>
      <c r="G183" s="47">
        <f>Source!AU69</f>
        <v>69</v>
      </c>
      <c r="H183" s="48"/>
      <c r="I183" s="49"/>
      <c r="J183" s="48"/>
      <c r="K183" s="49"/>
      <c r="L183" s="48">
        <f>SUM(BA169:BA184)</f>
        <v>398.33</v>
      </c>
    </row>
    <row r="184" spans="1:83" ht="15" x14ac:dyDescent="0.2">
      <c r="C184" s="112" t="s">
        <v>845</v>
      </c>
      <c r="D184" s="112"/>
      <c r="E184" s="112"/>
      <c r="F184" s="112"/>
      <c r="G184" s="112"/>
      <c r="H184" s="112"/>
      <c r="I184" s="113">
        <f>K184/E169</f>
        <v>4671.84</v>
      </c>
      <c r="J184" s="113"/>
      <c r="K184" s="113">
        <f>L170+L172+L177+L182+L183+L173+SUM(L180:L180)</f>
        <v>7007.76</v>
      </c>
      <c r="L184" s="113"/>
      <c r="AD184">
        <f>ROUND((Source!AT69/100)*((ROUND(SUMIF(SmtRes!AQ48:'SmtRes'!AQ54,"=1",SmtRes!AD48:'SmtRes'!AD54)*Source!I69, 2)+ROUND(SUMIF(SmtRes!AQ48:'SmtRes'!AQ54,"=1",SmtRes!AC48:'SmtRes'!AC54)*Source!I69, 2))), 2)</f>
        <v>1600.69</v>
      </c>
      <c r="AE184">
        <f>ROUND((Source!AU69/100)*((ROUND(SUMIF(SmtRes!AQ48:'SmtRes'!AQ54,"=1",SmtRes!AD48:'SmtRes'!AD54)*Source!I69, 2)+ROUND(SUMIF(SmtRes!AQ48:'SmtRes'!AQ54,"=1",SmtRes!AC48:'SmtRes'!AC54)*Source!I69, 2))), 2)</f>
        <v>1004.07</v>
      </c>
      <c r="AN184" s="50">
        <f>L170+L172+L177+L182+L183+L173</f>
        <v>1763.12</v>
      </c>
      <c r="AO184" s="50">
        <f>L172</f>
        <v>141.23000000000002</v>
      </c>
      <c r="AQ184" t="s">
        <v>846</v>
      </c>
      <c r="AR184" s="50">
        <f>L170</f>
        <v>518.1</v>
      </c>
      <c r="AT184" s="50">
        <f>L173</f>
        <v>59.19</v>
      </c>
      <c r="AV184" t="s">
        <v>846</v>
      </c>
      <c r="AW184" s="50">
        <f>L177</f>
        <v>11.25</v>
      </c>
      <c r="AZ184">
        <f>Source!X69</f>
        <v>635.02</v>
      </c>
      <c r="BA184">
        <f>Source!Y69</f>
        <v>398.33</v>
      </c>
      <c r="CD184">
        <v>1</v>
      </c>
    </row>
    <row r="185" spans="1:83" ht="14.25" x14ac:dyDescent="0.2">
      <c r="A185" s="35" t="s">
        <v>147</v>
      </c>
      <c r="B185" s="37" t="s">
        <v>831</v>
      </c>
      <c r="C185" s="37" t="str">
        <f>Source!G71</f>
        <v>Установка блоков стен подвалов массой: до 1 т</v>
      </c>
      <c r="D185" s="38" t="str">
        <f>Source!H71</f>
        <v>100 ШТ</v>
      </c>
      <c r="E185" s="39">
        <f>Source!K71</f>
        <v>0.01</v>
      </c>
      <c r="F185" s="39"/>
      <c r="G185" s="39">
        <f>Source!I71</f>
        <v>0.01</v>
      </c>
      <c r="H185" s="41"/>
      <c r="I185" s="40"/>
      <c r="J185" s="41"/>
      <c r="K185" s="40"/>
      <c r="L185" s="41"/>
    </row>
    <row r="186" spans="1:83" x14ac:dyDescent="0.2">
      <c r="C186" s="58" t="str">
        <f>"Объем: "&amp;Source!I71&amp;"=1/"&amp;"100"</f>
        <v>Объем: 0,01=1/100</v>
      </c>
    </row>
    <row r="187" spans="1:83" ht="15" x14ac:dyDescent="0.2">
      <c r="A187" s="36"/>
      <c r="B187" s="39">
        <v>1</v>
      </c>
      <c r="C187" s="36" t="s">
        <v>835</v>
      </c>
      <c r="D187" s="38" t="s">
        <v>509</v>
      </c>
      <c r="E187" s="43"/>
      <c r="F187" s="39"/>
      <c r="G187" s="43">
        <f>Source!U71</f>
        <v>0.66800000000000004</v>
      </c>
      <c r="H187" s="39"/>
      <c r="I187" s="39"/>
      <c r="J187" s="39"/>
      <c r="K187" s="39"/>
      <c r="L187" s="44">
        <f>SUM(L188:L188)-SUMIF(CE188:CE188, 1, L188:L188)</f>
        <v>298.33999999999997</v>
      </c>
    </row>
    <row r="188" spans="1:83" ht="14.25" x14ac:dyDescent="0.2">
      <c r="A188" s="37"/>
      <c r="B188" s="37" t="s">
        <v>507</v>
      </c>
      <c r="C188" s="37" t="s">
        <v>508</v>
      </c>
      <c r="D188" s="38" t="s">
        <v>509</v>
      </c>
      <c r="E188" s="39">
        <v>66.8</v>
      </c>
      <c r="F188" s="39"/>
      <c r="G188" s="39">
        <f>SmtRes!CX55</f>
        <v>0.66800000000000004</v>
      </c>
      <c r="H188" s="41"/>
      <c r="I188" s="40"/>
      <c r="J188" s="41">
        <f>SmtRes!CZ55</f>
        <v>446.62</v>
      </c>
      <c r="K188" s="40"/>
      <c r="L188" s="41">
        <f>SmtRes!DI55</f>
        <v>298.33999999999997</v>
      </c>
    </row>
    <row r="189" spans="1:83" ht="15" x14ac:dyDescent="0.2">
      <c r="A189" s="36"/>
      <c r="B189" s="39">
        <v>2</v>
      </c>
      <c r="C189" s="36" t="s">
        <v>836</v>
      </c>
      <c r="D189" s="38"/>
      <c r="E189" s="43"/>
      <c r="F189" s="39"/>
      <c r="G189" s="43"/>
      <c r="H189" s="39"/>
      <c r="I189" s="39"/>
      <c r="J189" s="39"/>
      <c r="K189" s="39"/>
      <c r="L189" s="44">
        <f>SUM(L190:L196)-SUMIF(CE190:CE196, 1, L190:L196)</f>
        <v>483.05999999999989</v>
      </c>
    </row>
    <row r="190" spans="1:83" ht="15" x14ac:dyDescent="0.2">
      <c r="A190" s="36"/>
      <c r="B190" s="39"/>
      <c r="C190" s="36" t="s">
        <v>839</v>
      </c>
      <c r="D190" s="38" t="s">
        <v>509</v>
      </c>
      <c r="E190" s="43"/>
      <c r="F190" s="39"/>
      <c r="G190" s="43">
        <f>Source!V71</f>
        <v>0.27060000000000001</v>
      </c>
      <c r="H190" s="39"/>
      <c r="I190" s="39"/>
      <c r="J190" s="39"/>
      <c r="K190" s="39"/>
      <c r="L190" s="44">
        <f>SUMIF(CE191:CE196, 1, L191:L196)</f>
        <v>169.45000000000002</v>
      </c>
      <c r="CE190">
        <v>1</v>
      </c>
    </row>
    <row r="191" spans="1:83" ht="28.5" x14ac:dyDescent="0.2">
      <c r="A191" s="37"/>
      <c r="B191" s="37" t="s">
        <v>512</v>
      </c>
      <c r="C191" s="37" t="s">
        <v>514</v>
      </c>
      <c r="D191" s="38" t="s">
        <v>515</v>
      </c>
      <c r="E191" s="39">
        <v>3.6</v>
      </c>
      <c r="F191" s="39"/>
      <c r="G191" s="39">
        <f>SmtRes!CX57</f>
        <v>3.5999999999999997E-2</v>
      </c>
      <c r="H191" s="41"/>
      <c r="I191" s="40"/>
      <c r="J191" s="41">
        <f>SmtRes!CZ57</f>
        <v>1551.19</v>
      </c>
      <c r="K191" s="40"/>
      <c r="L191" s="41">
        <f>SmtRes!DG57</f>
        <v>55.84</v>
      </c>
    </row>
    <row r="192" spans="1:83" ht="14.25" x14ac:dyDescent="0.2">
      <c r="A192" s="37"/>
      <c r="B192" s="37" t="s">
        <v>516</v>
      </c>
      <c r="C192" s="37" t="s">
        <v>837</v>
      </c>
      <c r="D192" s="38" t="s">
        <v>509</v>
      </c>
      <c r="E192" s="39">
        <f>SmtRes!DO57*SmtRes!AT57</f>
        <v>3.6</v>
      </c>
      <c r="F192" s="39"/>
      <c r="G192" s="39">
        <f>SmtRes!DO57*SmtRes!CX57</f>
        <v>3.5999999999999997E-2</v>
      </c>
      <c r="H192" s="41"/>
      <c r="I192" s="40"/>
      <c r="J192" s="41">
        <f>ROUND(SmtRes!AG57/SmtRes!DO57, 2)</f>
        <v>658.94</v>
      </c>
      <c r="K192" s="40"/>
      <c r="L192" s="41">
        <f>SmtRes!DH57</f>
        <v>23.72</v>
      </c>
      <c r="CE192">
        <v>1</v>
      </c>
    </row>
    <row r="193" spans="1:83" ht="28.5" x14ac:dyDescent="0.2">
      <c r="A193" s="37"/>
      <c r="B193" s="37" t="s">
        <v>517</v>
      </c>
      <c r="C193" s="37" t="s">
        <v>519</v>
      </c>
      <c r="D193" s="38" t="s">
        <v>515</v>
      </c>
      <c r="E193" s="39">
        <v>18.2</v>
      </c>
      <c r="F193" s="39"/>
      <c r="G193" s="39">
        <f>SmtRes!CX58</f>
        <v>0.182</v>
      </c>
      <c r="H193" s="41">
        <f>SmtRes!CZ58</f>
        <v>1703.3</v>
      </c>
      <c r="I193" s="40">
        <f>SmtRes!AJ58</f>
        <v>1.28</v>
      </c>
      <c r="J193" s="41">
        <f>ROUND(H193*I193, 2)</f>
        <v>2180.2199999999998</v>
      </c>
      <c r="K193" s="40"/>
      <c r="L193" s="41">
        <f>SmtRes!DG58</f>
        <v>396.8</v>
      </c>
    </row>
    <row r="194" spans="1:83" ht="14.25" x14ac:dyDescent="0.2">
      <c r="A194" s="37"/>
      <c r="B194" s="37" t="s">
        <v>516</v>
      </c>
      <c r="C194" s="37" t="s">
        <v>837</v>
      </c>
      <c r="D194" s="38" t="s">
        <v>509</v>
      </c>
      <c r="E194" s="39">
        <f>SmtRes!DO58*SmtRes!AT58</f>
        <v>18.2</v>
      </c>
      <c r="F194" s="39"/>
      <c r="G194" s="39">
        <f>SmtRes!DO58*SmtRes!CX58</f>
        <v>0.182</v>
      </c>
      <c r="H194" s="41"/>
      <c r="I194" s="40"/>
      <c r="J194" s="41">
        <f>ROUND(SmtRes!AG58/SmtRes!DO58, 2)</f>
        <v>658.94</v>
      </c>
      <c r="K194" s="40"/>
      <c r="L194" s="41">
        <f>SmtRes!DH58</f>
        <v>119.93</v>
      </c>
      <c r="CE194">
        <v>1</v>
      </c>
    </row>
    <row r="195" spans="1:83" ht="14.25" x14ac:dyDescent="0.2">
      <c r="A195" s="37"/>
      <c r="B195" s="37" t="s">
        <v>520</v>
      </c>
      <c r="C195" s="37" t="s">
        <v>522</v>
      </c>
      <c r="D195" s="38" t="s">
        <v>515</v>
      </c>
      <c r="E195" s="39">
        <v>5.26</v>
      </c>
      <c r="F195" s="39"/>
      <c r="G195" s="39">
        <f>SmtRes!CX59</f>
        <v>5.2600000000000001E-2</v>
      </c>
      <c r="H195" s="41">
        <f>SmtRes!CZ59</f>
        <v>477.92</v>
      </c>
      <c r="I195" s="40">
        <f>SmtRes!AJ59</f>
        <v>1.21</v>
      </c>
      <c r="J195" s="41">
        <f>ROUND(H195*I195, 2)</f>
        <v>578.28</v>
      </c>
      <c r="K195" s="40"/>
      <c r="L195" s="41">
        <f>SmtRes!DG59</f>
        <v>30.42</v>
      </c>
    </row>
    <row r="196" spans="1:83" ht="14.25" x14ac:dyDescent="0.2">
      <c r="A196" s="37"/>
      <c r="B196" s="37" t="s">
        <v>523</v>
      </c>
      <c r="C196" s="37" t="s">
        <v>838</v>
      </c>
      <c r="D196" s="38" t="s">
        <v>509</v>
      </c>
      <c r="E196" s="39">
        <f>SmtRes!DO59*SmtRes!AT59</f>
        <v>5.26</v>
      </c>
      <c r="F196" s="39"/>
      <c r="G196" s="39">
        <f>SmtRes!DO59*SmtRes!CX59</f>
        <v>5.2600000000000001E-2</v>
      </c>
      <c r="H196" s="41"/>
      <c r="I196" s="40"/>
      <c r="J196" s="41">
        <f>ROUND(SmtRes!AG59/SmtRes!DO59, 2)</f>
        <v>490.55</v>
      </c>
      <c r="K196" s="40"/>
      <c r="L196" s="41">
        <f>SmtRes!DH59</f>
        <v>25.8</v>
      </c>
      <c r="CE196">
        <v>1</v>
      </c>
    </row>
    <row r="197" spans="1:83" ht="15" x14ac:dyDescent="0.2">
      <c r="A197" s="36"/>
      <c r="B197" s="39">
        <v>4</v>
      </c>
      <c r="C197" s="36" t="s">
        <v>840</v>
      </c>
      <c r="D197" s="38"/>
      <c r="E197" s="43"/>
      <c r="F197" s="39"/>
      <c r="G197" s="43"/>
      <c r="H197" s="39"/>
      <c r="I197" s="39"/>
      <c r="J197" s="39"/>
      <c r="K197" s="39"/>
      <c r="L197" s="44">
        <f>SUM(L198:L198)-SUMIF(CE198:CE198, 1, L198:L198)</f>
        <v>74.819999999999993</v>
      </c>
    </row>
    <row r="198" spans="1:83" ht="14.25" x14ac:dyDescent="0.2">
      <c r="A198" s="37"/>
      <c r="B198" s="37" t="s">
        <v>527</v>
      </c>
      <c r="C198" s="45" t="s">
        <v>529</v>
      </c>
      <c r="D198" s="46" t="s">
        <v>129</v>
      </c>
      <c r="E198" s="47">
        <v>1.65</v>
      </c>
      <c r="F198" s="47"/>
      <c r="G198" s="47">
        <f>SmtRes!CX61</f>
        <v>1.6500000000000001E-2</v>
      </c>
      <c r="H198" s="48">
        <f>SmtRes!CZ61</f>
        <v>3778.62</v>
      </c>
      <c r="I198" s="49">
        <f>SmtRes!AI61</f>
        <v>1.2</v>
      </c>
      <c r="J198" s="48">
        <f>ROUND(H198*I198, 2)</f>
        <v>4534.34</v>
      </c>
      <c r="K198" s="49"/>
      <c r="L198" s="48">
        <f>SmtRes!DF61</f>
        <v>74.819999999999993</v>
      </c>
    </row>
    <row r="199" spans="1:83" ht="15" x14ac:dyDescent="0.2">
      <c r="A199" s="37"/>
      <c r="B199" s="37"/>
      <c r="C199" s="51" t="s">
        <v>841</v>
      </c>
      <c r="D199" s="38"/>
      <c r="E199" s="39"/>
      <c r="F199" s="39"/>
      <c r="G199" s="39"/>
      <c r="H199" s="41"/>
      <c r="I199" s="40"/>
      <c r="J199" s="41"/>
      <c r="K199" s="40"/>
      <c r="L199" s="41">
        <f>L187+L189+L190+L197</f>
        <v>1025.6699999999998</v>
      </c>
    </row>
    <row r="200" spans="1:83" ht="14.25" x14ac:dyDescent="0.2">
      <c r="A200" s="35" t="s">
        <v>866</v>
      </c>
      <c r="B200" s="37" t="str">
        <f>Source!F72</f>
        <v>05.1.08.01-0282</v>
      </c>
      <c r="C200" s="37" t="str">
        <f>Source!G72</f>
        <v>Блоки фундаментные ФБС 12-4-6</v>
      </c>
      <c r="D200" s="38" t="str">
        <f>Source!H72</f>
        <v>м3</v>
      </c>
      <c r="E200" s="39">
        <f>SmtRes!AT62</f>
        <v>27</v>
      </c>
      <c r="F200" s="39"/>
      <c r="G200" s="39">
        <f>Source!I72</f>
        <v>0.27</v>
      </c>
      <c r="H200" s="41">
        <f>Source!AL72+Source!AO72+Source!AM72+Source!AN72</f>
        <v>14327.63</v>
      </c>
      <c r="I200" s="40">
        <f>IF(Source!BC72&lt;&gt; 0, Source!BC72, 1)</f>
        <v>1.56</v>
      </c>
      <c r="J200" s="41">
        <f>ROUND(H200*I200, 2)</f>
        <v>22351.1</v>
      </c>
      <c r="K200" s="40"/>
      <c r="L200" s="41">
        <f>Source!P72</f>
        <v>6034.8</v>
      </c>
      <c r="AD200">
        <f>ROUND((Source!AT72/100)*((ROUND(ROUND(Source!AO72,2)*Source!I72, 2)+ROUND(ROUND(Source!AN72,2)*Source!I72, 2))), 2)</f>
        <v>0</v>
      </c>
      <c r="AE200">
        <f>ROUND((Source!AU72/100)*((ROUND(ROUND(Source!AO72,2)*Source!I72, 2)+ROUND(ROUND(Source!AN72,2)*Source!I72, 2))), 2)</f>
        <v>0</v>
      </c>
      <c r="AN200">
        <f>L200</f>
        <v>6034.8</v>
      </c>
      <c r="AW200">
        <f>L200</f>
        <v>6034.8</v>
      </c>
      <c r="AZ200">
        <f>Source!X72</f>
        <v>0</v>
      </c>
      <c r="BA200">
        <f>Source!Y72</f>
        <v>0</v>
      </c>
      <c r="CD200">
        <v>1</v>
      </c>
    </row>
    <row r="201" spans="1:83" ht="14.25" x14ac:dyDescent="0.2">
      <c r="A201" s="37"/>
      <c r="B201" s="37"/>
      <c r="C201" s="37" t="s">
        <v>842</v>
      </c>
      <c r="D201" s="38"/>
      <c r="E201" s="39"/>
      <c r="F201" s="39"/>
      <c r="G201" s="39"/>
      <c r="H201" s="41"/>
      <c r="I201" s="40"/>
      <c r="J201" s="41"/>
      <c r="K201" s="40"/>
      <c r="L201" s="41">
        <f>SUM(AR185:AR204)+SUM(AS185:AS204)+SUM(AT185:AT204)+SUM(AU185:AU204)+SUM(AV185:AV204)</f>
        <v>467.78999999999996</v>
      </c>
    </row>
    <row r="202" spans="1:83" ht="57" x14ac:dyDescent="0.2">
      <c r="A202" s="37"/>
      <c r="B202" s="37" t="s">
        <v>85</v>
      </c>
      <c r="C202" s="37" t="s">
        <v>843</v>
      </c>
      <c r="D202" s="38" t="s">
        <v>669</v>
      </c>
      <c r="E202" s="39">
        <f>Source!BZ71</f>
        <v>116</v>
      </c>
      <c r="F202" s="39"/>
      <c r="G202" s="39">
        <f>Source!AT71</f>
        <v>116</v>
      </c>
      <c r="H202" s="41"/>
      <c r="I202" s="40"/>
      <c r="J202" s="41"/>
      <c r="K202" s="40"/>
      <c r="L202" s="41">
        <f>SUM(AZ185:AZ204)</f>
        <v>542.64</v>
      </c>
    </row>
    <row r="203" spans="1:83" ht="57" x14ac:dyDescent="0.2">
      <c r="A203" s="45"/>
      <c r="B203" s="45" t="s">
        <v>86</v>
      </c>
      <c r="C203" s="45" t="s">
        <v>844</v>
      </c>
      <c r="D203" s="46" t="s">
        <v>669</v>
      </c>
      <c r="E203" s="47">
        <f>Source!CA71</f>
        <v>80</v>
      </c>
      <c r="F203" s="47"/>
      <c r="G203" s="47">
        <f>Source!AU71</f>
        <v>80</v>
      </c>
      <c r="H203" s="48"/>
      <c r="I203" s="49"/>
      <c r="J203" s="48"/>
      <c r="K203" s="49"/>
      <c r="L203" s="48">
        <f>SUM(BA185:BA204)</f>
        <v>374.23</v>
      </c>
    </row>
    <row r="204" spans="1:83" ht="15" x14ac:dyDescent="0.2">
      <c r="C204" s="112" t="s">
        <v>845</v>
      </c>
      <c r="D204" s="112"/>
      <c r="E204" s="112"/>
      <c r="F204" s="112"/>
      <c r="G204" s="112"/>
      <c r="H204" s="112"/>
      <c r="I204" s="113">
        <f>K204/E185</f>
        <v>797734</v>
      </c>
      <c r="J204" s="113"/>
      <c r="K204" s="113">
        <f>L187+L189+L197+L202+L203+L190+SUM(L200:L200)</f>
        <v>7977.34</v>
      </c>
      <c r="L204" s="113"/>
      <c r="AD204">
        <f>ROUND((Source!AT71/100)*((ROUND(SUMIF(SmtRes!AQ55:'SmtRes'!AQ63,"=1",SmtRes!AD55:'SmtRes'!AD63)*Source!I71, 2)+ROUND(SUMIF(SmtRes!AQ55:'SmtRes'!AQ63,"=1",SmtRes!AC55:'SmtRes'!AC63)*Source!I71, 2))), 2)</f>
        <v>26.16</v>
      </c>
      <c r="AE204">
        <f>ROUND((Source!AU71/100)*((ROUND(SUMIF(SmtRes!AQ55:'SmtRes'!AQ63,"=1",SmtRes!AD55:'SmtRes'!AD63)*Source!I71, 2)+ROUND(SUMIF(SmtRes!AQ55:'SmtRes'!AQ63,"=1",SmtRes!AC55:'SmtRes'!AC63)*Source!I71, 2))), 2)</f>
        <v>18.04</v>
      </c>
      <c r="AN204" s="50">
        <f>L187+L189+L197+L202+L203+L190</f>
        <v>1942.5399999999997</v>
      </c>
      <c r="AO204" s="50">
        <f>L189</f>
        <v>483.05999999999989</v>
      </c>
      <c r="AQ204" t="s">
        <v>846</v>
      </c>
      <c r="AR204" s="50">
        <f>L187</f>
        <v>298.33999999999997</v>
      </c>
      <c r="AT204" s="50">
        <f>L190</f>
        <v>169.45000000000002</v>
      </c>
      <c r="AV204" t="s">
        <v>846</v>
      </c>
      <c r="AW204" s="50">
        <f>L197</f>
        <v>74.819999999999993</v>
      </c>
      <c r="AZ204">
        <f>Source!X71</f>
        <v>542.64</v>
      </c>
      <c r="BA204">
        <f>Source!Y71</f>
        <v>374.23</v>
      </c>
      <c r="CD204">
        <v>1</v>
      </c>
    </row>
    <row r="205" spans="1:83" ht="28.5" x14ac:dyDescent="0.2">
      <c r="A205" s="35" t="s">
        <v>153</v>
      </c>
      <c r="B205" s="37" t="s">
        <v>847</v>
      </c>
      <c r="C205" s="37" t="str">
        <f>Source!G73</f>
        <v>Установка блоков стен подвалов массой: до 1,5 т</v>
      </c>
      <c r="D205" s="38" t="str">
        <f>Source!H73</f>
        <v>100 ШТ</v>
      </c>
      <c r="E205" s="39">
        <f>Source!K73</f>
        <v>0.03</v>
      </c>
      <c r="F205" s="39"/>
      <c r="G205" s="39">
        <f>Source!I73</f>
        <v>0.03</v>
      </c>
      <c r="H205" s="41"/>
      <c r="I205" s="40"/>
      <c r="J205" s="41"/>
      <c r="K205" s="40"/>
      <c r="L205" s="41"/>
    </row>
    <row r="206" spans="1:83" x14ac:dyDescent="0.2">
      <c r="C206" s="58" t="str">
        <f>"Объем: "&amp;Source!I73&amp;"=3/"&amp;"100"</f>
        <v>Объем: 0,03=3/100</v>
      </c>
    </row>
    <row r="207" spans="1:83" ht="15" x14ac:dyDescent="0.2">
      <c r="A207" s="36"/>
      <c r="B207" s="39">
        <v>1</v>
      </c>
      <c r="C207" s="36" t="s">
        <v>835</v>
      </c>
      <c r="D207" s="38" t="s">
        <v>509</v>
      </c>
      <c r="E207" s="43"/>
      <c r="F207" s="39"/>
      <c r="G207" s="43">
        <f>Source!U73</f>
        <v>2.8109999999999999</v>
      </c>
      <c r="H207" s="39"/>
      <c r="I207" s="39"/>
      <c r="J207" s="39"/>
      <c r="K207" s="39"/>
      <c r="L207" s="44">
        <f>SUM(L208:L208)-SUMIF(CE208:CE208, 1, L208:L208)</f>
        <v>1286.31</v>
      </c>
    </row>
    <row r="208" spans="1:83" ht="14.25" x14ac:dyDescent="0.2">
      <c r="A208" s="37"/>
      <c r="B208" s="37" t="s">
        <v>532</v>
      </c>
      <c r="C208" s="37" t="s">
        <v>533</v>
      </c>
      <c r="D208" s="38" t="s">
        <v>509</v>
      </c>
      <c r="E208" s="39">
        <v>93.7</v>
      </c>
      <c r="F208" s="39"/>
      <c r="G208" s="39">
        <f>SmtRes!CX64</f>
        <v>2.8109999999999999</v>
      </c>
      <c r="H208" s="41"/>
      <c r="I208" s="40"/>
      <c r="J208" s="41">
        <f>SmtRes!CZ64</f>
        <v>457.6</v>
      </c>
      <c r="K208" s="40"/>
      <c r="L208" s="41">
        <f>SmtRes!DI64</f>
        <v>1286.31</v>
      </c>
    </row>
    <row r="209" spans="1:83" ht="15" x14ac:dyDescent="0.2">
      <c r="A209" s="36"/>
      <c r="B209" s="39">
        <v>2</v>
      </c>
      <c r="C209" s="36" t="s">
        <v>836</v>
      </c>
      <c r="D209" s="38"/>
      <c r="E209" s="43"/>
      <c r="F209" s="39"/>
      <c r="G209" s="43"/>
      <c r="H209" s="39"/>
      <c r="I209" s="39"/>
      <c r="J209" s="39"/>
      <c r="K209" s="39"/>
      <c r="L209" s="44">
        <f>SUM(L210:L216)-SUMIF(CE210:CE216, 1, L210:L216)</f>
        <v>2224.2699999999995</v>
      </c>
    </row>
    <row r="210" spans="1:83" ht="15" x14ac:dyDescent="0.2">
      <c r="A210" s="36"/>
      <c r="B210" s="39"/>
      <c r="C210" s="36" t="s">
        <v>839</v>
      </c>
      <c r="D210" s="38" t="s">
        <v>509</v>
      </c>
      <c r="E210" s="43"/>
      <c r="F210" s="39"/>
      <c r="G210" s="43">
        <f>Source!V73</f>
        <v>1.2918000000000003</v>
      </c>
      <c r="H210" s="39"/>
      <c r="I210" s="39"/>
      <c r="J210" s="39"/>
      <c r="K210" s="39"/>
      <c r="L210" s="44">
        <f>SUMIF(CE211:CE216, 1, L211:L216)</f>
        <v>802.17</v>
      </c>
      <c r="CE210">
        <v>1</v>
      </c>
    </row>
    <row r="211" spans="1:83" ht="28.5" x14ac:dyDescent="0.2">
      <c r="A211" s="37"/>
      <c r="B211" s="37" t="s">
        <v>512</v>
      </c>
      <c r="C211" s="37" t="s">
        <v>514</v>
      </c>
      <c r="D211" s="38" t="s">
        <v>515</v>
      </c>
      <c r="E211" s="39">
        <v>6.65</v>
      </c>
      <c r="F211" s="39"/>
      <c r="G211" s="39">
        <f>SmtRes!CX66</f>
        <v>0.19950000000000001</v>
      </c>
      <c r="H211" s="41"/>
      <c r="I211" s="40"/>
      <c r="J211" s="41">
        <f>SmtRes!CZ66</f>
        <v>1551.19</v>
      </c>
      <c r="K211" s="40"/>
      <c r="L211" s="41">
        <f>SmtRes!DG66</f>
        <v>309.45999999999998</v>
      </c>
    </row>
    <row r="212" spans="1:83" ht="14.25" x14ac:dyDescent="0.2">
      <c r="A212" s="37"/>
      <c r="B212" s="37" t="s">
        <v>516</v>
      </c>
      <c r="C212" s="37" t="s">
        <v>837</v>
      </c>
      <c r="D212" s="38" t="s">
        <v>509</v>
      </c>
      <c r="E212" s="39">
        <f>SmtRes!DO66*SmtRes!AT66</f>
        <v>6.65</v>
      </c>
      <c r="F212" s="39"/>
      <c r="G212" s="39">
        <f>SmtRes!DO66*SmtRes!CX66</f>
        <v>0.19950000000000001</v>
      </c>
      <c r="H212" s="41"/>
      <c r="I212" s="40"/>
      <c r="J212" s="41">
        <f>ROUND(SmtRes!AG66/SmtRes!DO66, 2)</f>
        <v>658.94</v>
      </c>
      <c r="K212" s="40"/>
      <c r="L212" s="41">
        <f>SmtRes!DH66</f>
        <v>131.46</v>
      </c>
      <c r="CE212">
        <v>1</v>
      </c>
    </row>
    <row r="213" spans="1:83" ht="28.5" x14ac:dyDescent="0.2">
      <c r="A213" s="37"/>
      <c r="B213" s="37" t="s">
        <v>517</v>
      </c>
      <c r="C213" s="37" t="s">
        <v>519</v>
      </c>
      <c r="D213" s="38" t="s">
        <v>515</v>
      </c>
      <c r="E213" s="39">
        <v>26.7</v>
      </c>
      <c r="F213" s="39"/>
      <c r="G213" s="39">
        <f>SmtRes!CX67</f>
        <v>0.80100000000000005</v>
      </c>
      <c r="H213" s="41">
        <f>SmtRes!CZ67</f>
        <v>1703.3</v>
      </c>
      <c r="I213" s="40">
        <f>SmtRes!AJ67</f>
        <v>1.28</v>
      </c>
      <c r="J213" s="41">
        <f>ROUND(H213*I213, 2)</f>
        <v>2180.2199999999998</v>
      </c>
      <c r="K213" s="40"/>
      <c r="L213" s="41">
        <f>SmtRes!DG67</f>
        <v>1746.36</v>
      </c>
    </row>
    <row r="214" spans="1:83" ht="14.25" x14ac:dyDescent="0.2">
      <c r="A214" s="37"/>
      <c r="B214" s="37" t="s">
        <v>516</v>
      </c>
      <c r="C214" s="37" t="s">
        <v>837</v>
      </c>
      <c r="D214" s="38" t="s">
        <v>509</v>
      </c>
      <c r="E214" s="39">
        <f>SmtRes!DO67*SmtRes!AT67</f>
        <v>26.7</v>
      </c>
      <c r="F214" s="39"/>
      <c r="G214" s="39">
        <f>SmtRes!DO67*SmtRes!CX67</f>
        <v>0.80100000000000005</v>
      </c>
      <c r="H214" s="41"/>
      <c r="I214" s="40"/>
      <c r="J214" s="41">
        <f>ROUND(SmtRes!AG67/SmtRes!DO67, 2)</f>
        <v>658.94</v>
      </c>
      <c r="K214" s="40"/>
      <c r="L214" s="41">
        <f>SmtRes!DH67</f>
        <v>527.80999999999995</v>
      </c>
      <c r="CE214">
        <v>1</v>
      </c>
    </row>
    <row r="215" spans="1:83" ht="14.25" x14ac:dyDescent="0.2">
      <c r="A215" s="37"/>
      <c r="B215" s="37" t="s">
        <v>520</v>
      </c>
      <c r="C215" s="37" t="s">
        <v>522</v>
      </c>
      <c r="D215" s="38" t="s">
        <v>515</v>
      </c>
      <c r="E215" s="39">
        <v>9.7100000000000009</v>
      </c>
      <c r="F215" s="39"/>
      <c r="G215" s="39">
        <f>SmtRes!CX68</f>
        <v>0.2913</v>
      </c>
      <c r="H215" s="41">
        <f>SmtRes!CZ68</f>
        <v>477.92</v>
      </c>
      <c r="I215" s="40">
        <f>SmtRes!AJ68</f>
        <v>1.21</v>
      </c>
      <c r="J215" s="41">
        <f>ROUND(H215*I215, 2)</f>
        <v>578.28</v>
      </c>
      <c r="K215" s="40"/>
      <c r="L215" s="41">
        <f>SmtRes!DG68</f>
        <v>168.45</v>
      </c>
    </row>
    <row r="216" spans="1:83" ht="14.25" x14ac:dyDescent="0.2">
      <c r="A216" s="37"/>
      <c r="B216" s="37" t="s">
        <v>523</v>
      </c>
      <c r="C216" s="37" t="s">
        <v>838</v>
      </c>
      <c r="D216" s="38" t="s">
        <v>509</v>
      </c>
      <c r="E216" s="39">
        <f>SmtRes!DO68*SmtRes!AT68</f>
        <v>9.7100000000000009</v>
      </c>
      <c r="F216" s="39"/>
      <c r="G216" s="39">
        <f>SmtRes!DO68*SmtRes!CX68</f>
        <v>0.2913</v>
      </c>
      <c r="H216" s="41"/>
      <c r="I216" s="40"/>
      <c r="J216" s="41">
        <f>ROUND(SmtRes!AG68/SmtRes!DO68, 2)</f>
        <v>490.55</v>
      </c>
      <c r="K216" s="40"/>
      <c r="L216" s="41">
        <f>SmtRes!DH68</f>
        <v>142.9</v>
      </c>
      <c r="CE216">
        <v>1</v>
      </c>
    </row>
    <row r="217" spans="1:83" ht="15" x14ac:dyDescent="0.2">
      <c r="A217" s="36"/>
      <c r="B217" s="39">
        <v>4</v>
      </c>
      <c r="C217" s="36" t="s">
        <v>840</v>
      </c>
      <c r="D217" s="38"/>
      <c r="E217" s="43"/>
      <c r="F217" s="39"/>
      <c r="G217" s="43"/>
      <c r="H217" s="39"/>
      <c r="I217" s="39"/>
      <c r="J217" s="39"/>
      <c r="K217" s="39"/>
      <c r="L217" s="44">
        <f>SUM(L218:L218)-SUMIF(CE218:CE218, 1, L218:L218)</f>
        <v>401.29</v>
      </c>
    </row>
    <row r="218" spans="1:83" ht="14.25" x14ac:dyDescent="0.2">
      <c r="A218" s="37"/>
      <c r="B218" s="37" t="s">
        <v>527</v>
      </c>
      <c r="C218" s="45" t="s">
        <v>529</v>
      </c>
      <c r="D218" s="46" t="s">
        <v>129</v>
      </c>
      <c r="E218" s="47">
        <v>2.95</v>
      </c>
      <c r="F218" s="47"/>
      <c r="G218" s="47">
        <f>SmtRes!CX70</f>
        <v>8.8499999999999995E-2</v>
      </c>
      <c r="H218" s="48">
        <f>SmtRes!CZ70</f>
        <v>3778.62</v>
      </c>
      <c r="I218" s="49">
        <f>SmtRes!AI70</f>
        <v>1.2</v>
      </c>
      <c r="J218" s="48">
        <f>ROUND(H218*I218, 2)</f>
        <v>4534.34</v>
      </c>
      <c r="K218" s="49"/>
      <c r="L218" s="48">
        <f>SmtRes!DF70</f>
        <v>401.29</v>
      </c>
    </row>
    <row r="219" spans="1:83" ht="15" x14ac:dyDescent="0.2">
      <c r="A219" s="37"/>
      <c r="B219" s="37"/>
      <c r="C219" s="51" t="s">
        <v>841</v>
      </c>
      <c r="D219" s="38"/>
      <c r="E219" s="39"/>
      <c r="F219" s="39"/>
      <c r="G219" s="39"/>
      <c r="H219" s="41"/>
      <c r="I219" s="40"/>
      <c r="J219" s="41"/>
      <c r="K219" s="40"/>
      <c r="L219" s="41">
        <f>L207+L209+L210+L217</f>
        <v>4714.0399999999991</v>
      </c>
    </row>
    <row r="220" spans="1:83" ht="14.25" x14ac:dyDescent="0.2">
      <c r="A220" s="35" t="s">
        <v>867</v>
      </c>
      <c r="B220" s="37" t="str">
        <f>Source!F74</f>
        <v>05.1.08.01-0282</v>
      </c>
      <c r="C220" s="37" t="str">
        <f>Source!G74</f>
        <v>Блоки фундаментные ФБС 24-4-6</v>
      </c>
      <c r="D220" s="38" t="str">
        <f>Source!H74</f>
        <v>м3</v>
      </c>
      <c r="E220" s="39">
        <f>SmtRes!AT71</f>
        <v>54.3</v>
      </c>
      <c r="F220" s="39"/>
      <c r="G220" s="39">
        <f>Source!I74</f>
        <v>1.629</v>
      </c>
      <c r="H220" s="41">
        <f>Source!AL74+Source!AO74+Source!AM74+Source!AN74</f>
        <v>14327.63</v>
      </c>
      <c r="I220" s="40">
        <f>IF(Source!BC74&lt;&gt; 0, Source!BC74, 1)</f>
        <v>1.56</v>
      </c>
      <c r="J220" s="41">
        <f>ROUND(H220*I220, 2)</f>
        <v>22351.1</v>
      </c>
      <c r="K220" s="40"/>
      <c r="L220" s="41">
        <f>Source!P74</f>
        <v>36409.94</v>
      </c>
      <c r="AD220">
        <f>ROUND((Source!AT74/100)*((ROUND(ROUND(Source!AO74,2)*Source!I74, 2)+ROUND(ROUND(Source!AN74,2)*Source!I74, 2))), 2)</f>
        <v>0</v>
      </c>
      <c r="AE220">
        <f>ROUND((Source!AU74/100)*((ROUND(ROUND(Source!AO74,2)*Source!I74, 2)+ROUND(ROUND(Source!AN74,2)*Source!I74, 2))), 2)</f>
        <v>0</v>
      </c>
      <c r="AN220">
        <f>L220</f>
        <v>36409.94</v>
      </c>
      <c r="AW220">
        <f>L220</f>
        <v>36409.94</v>
      </c>
      <c r="AZ220">
        <f>Source!X74</f>
        <v>0</v>
      </c>
      <c r="BA220">
        <f>Source!Y74</f>
        <v>0</v>
      </c>
      <c r="CD220">
        <v>1</v>
      </c>
    </row>
    <row r="221" spans="1:83" ht="14.25" x14ac:dyDescent="0.2">
      <c r="A221" s="37"/>
      <c r="B221" s="37"/>
      <c r="C221" s="37" t="s">
        <v>842</v>
      </c>
      <c r="D221" s="38"/>
      <c r="E221" s="39"/>
      <c r="F221" s="39"/>
      <c r="G221" s="39"/>
      <c r="H221" s="41"/>
      <c r="I221" s="40"/>
      <c r="J221" s="41"/>
      <c r="K221" s="40"/>
      <c r="L221" s="41">
        <f>SUM(AR205:AR224)+SUM(AS205:AS224)+SUM(AT205:AT224)+SUM(AU205:AU224)+SUM(AV205:AV224)</f>
        <v>2088.48</v>
      </c>
    </row>
    <row r="222" spans="1:83" ht="57" x14ac:dyDescent="0.2">
      <c r="A222" s="37"/>
      <c r="B222" s="37" t="s">
        <v>85</v>
      </c>
      <c r="C222" s="37" t="s">
        <v>843</v>
      </c>
      <c r="D222" s="38" t="s">
        <v>669</v>
      </c>
      <c r="E222" s="39">
        <f>Source!BZ73</f>
        <v>116</v>
      </c>
      <c r="F222" s="39"/>
      <c r="G222" s="39">
        <f>Source!AT73</f>
        <v>116</v>
      </c>
      <c r="H222" s="41"/>
      <c r="I222" s="40"/>
      <c r="J222" s="41"/>
      <c r="K222" s="40"/>
      <c r="L222" s="41">
        <f>SUM(AZ205:AZ224)</f>
        <v>2422.64</v>
      </c>
    </row>
    <row r="223" spans="1:83" ht="57" x14ac:dyDescent="0.2">
      <c r="A223" s="45"/>
      <c r="B223" s="45" t="s">
        <v>86</v>
      </c>
      <c r="C223" s="45" t="s">
        <v>844</v>
      </c>
      <c r="D223" s="46" t="s">
        <v>669</v>
      </c>
      <c r="E223" s="47">
        <f>Source!CA73</f>
        <v>80</v>
      </c>
      <c r="F223" s="47"/>
      <c r="G223" s="47">
        <f>Source!AU73</f>
        <v>80</v>
      </c>
      <c r="H223" s="48"/>
      <c r="I223" s="49"/>
      <c r="J223" s="48"/>
      <c r="K223" s="49"/>
      <c r="L223" s="48">
        <f>SUM(BA205:BA224)</f>
        <v>1670.78</v>
      </c>
    </row>
    <row r="224" spans="1:83" ht="15" x14ac:dyDescent="0.2">
      <c r="C224" s="112" t="s">
        <v>845</v>
      </c>
      <c r="D224" s="112"/>
      <c r="E224" s="112"/>
      <c r="F224" s="112"/>
      <c r="G224" s="112"/>
      <c r="H224" s="112"/>
      <c r="I224" s="113">
        <f>K224/E205</f>
        <v>1507246.6666666667</v>
      </c>
      <c r="J224" s="113"/>
      <c r="K224" s="113">
        <f>L207+L209+L217+L222+L223+L210+SUM(L220:L220)</f>
        <v>45217.4</v>
      </c>
      <c r="L224" s="113"/>
      <c r="AD224">
        <f>ROUND((Source!AT73/100)*((ROUND(SUMIF(SmtRes!AQ64:'SmtRes'!AQ72,"=1",SmtRes!AD64:'SmtRes'!AD72)*Source!I73, 2)+ROUND(SUMIF(SmtRes!AQ64:'SmtRes'!AQ72,"=1",SmtRes!AC64:'SmtRes'!AC72)*Source!I73, 2))), 2)</f>
        <v>78.86</v>
      </c>
      <c r="AE224">
        <f>ROUND((Source!AU73/100)*((ROUND(SUMIF(SmtRes!AQ64:'SmtRes'!AQ72,"=1",SmtRes!AD64:'SmtRes'!AD72)*Source!I73, 2)+ROUND(SUMIF(SmtRes!AQ64:'SmtRes'!AQ72,"=1",SmtRes!AC64:'SmtRes'!AC72)*Source!I73, 2))), 2)</f>
        <v>54.38</v>
      </c>
      <c r="AN224" s="50">
        <f>L207+L209+L217+L222+L223+L210</f>
        <v>8807.4599999999991</v>
      </c>
      <c r="AO224" s="50">
        <f>L209</f>
        <v>2224.2699999999995</v>
      </c>
      <c r="AQ224" t="s">
        <v>846</v>
      </c>
      <c r="AR224" s="50">
        <f>L207</f>
        <v>1286.31</v>
      </c>
      <c r="AT224" s="50">
        <f>L210</f>
        <v>802.17</v>
      </c>
      <c r="AV224" t="s">
        <v>846</v>
      </c>
      <c r="AW224" s="50">
        <f>L217</f>
        <v>401.29</v>
      </c>
      <c r="AZ224">
        <f>Source!X73</f>
        <v>2422.64</v>
      </c>
      <c r="BA224">
        <f>Source!Y73</f>
        <v>1670.78</v>
      </c>
      <c r="CD224">
        <v>1</v>
      </c>
    </row>
    <row r="225" spans="1:83" ht="14.25" x14ac:dyDescent="0.2">
      <c r="A225" s="35" t="s">
        <v>157</v>
      </c>
      <c r="B225" s="37" t="s">
        <v>848</v>
      </c>
      <c r="C225" s="37" t="str">
        <f>Source!G75</f>
        <v>Обвяка уголком 63х63х5 фундаментных блоков</v>
      </c>
      <c r="D225" s="38" t="str">
        <f>Source!H75</f>
        <v>т</v>
      </c>
      <c r="E225" s="39">
        <f>Source!K75</f>
        <v>0.11544</v>
      </c>
      <c r="F225" s="39"/>
      <c r="G225" s="39">
        <f>Source!I75</f>
        <v>0.11544</v>
      </c>
      <c r="H225" s="41"/>
      <c r="I225" s="40"/>
      <c r="J225" s="41"/>
      <c r="K225" s="40"/>
      <c r="L225" s="41"/>
    </row>
    <row r="226" spans="1:83" ht="15" x14ac:dyDescent="0.2">
      <c r="A226" s="36"/>
      <c r="B226" s="39">
        <v>1</v>
      </c>
      <c r="C226" s="36" t="s">
        <v>835</v>
      </c>
      <c r="D226" s="38" t="s">
        <v>509</v>
      </c>
      <c r="E226" s="43"/>
      <c r="F226" s="39"/>
      <c r="G226" s="43">
        <f>Source!U75</f>
        <v>4.565652</v>
      </c>
      <c r="H226" s="39"/>
      <c r="I226" s="39"/>
      <c r="J226" s="39"/>
      <c r="K226" s="39"/>
      <c r="L226" s="44">
        <f>SUM(L227:L227)-SUMIF(CE227:CE227, 1, L227:L227)</f>
        <v>2039.11</v>
      </c>
    </row>
    <row r="227" spans="1:83" ht="14.25" x14ac:dyDescent="0.2">
      <c r="A227" s="37"/>
      <c r="B227" s="37" t="s">
        <v>507</v>
      </c>
      <c r="C227" s="37" t="s">
        <v>508</v>
      </c>
      <c r="D227" s="38" t="s">
        <v>509</v>
      </c>
      <c r="E227" s="39">
        <v>39.549999999999997</v>
      </c>
      <c r="F227" s="39"/>
      <c r="G227" s="39">
        <f>SmtRes!CX73</f>
        <v>4.565652</v>
      </c>
      <c r="H227" s="41"/>
      <c r="I227" s="40"/>
      <c r="J227" s="41">
        <f>SmtRes!CZ73</f>
        <v>446.62</v>
      </c>
      <c r="K227" s="40"/>
      <c r="L227" s="41">
        <f>SmtRes!DI73</f>
        <v>2039.11</v>
      </c>
    </row>
    <row r="228" spans="1:83" ht="15" x14ac:dyDescent="0.2">
      <c r="A228" s="36"/>
      <c r="B228" s="39">
        <v>2</v>
      </c>
      <c r="C228" s="36" t="s">
        <v>836</v>
      </c>
      <c r="D228" s="38"/>
      <c r="E228" s="43"/>
      <c r="F228" s="39"/>
      <c r="G228" s="43"/>
      <c r="H228" s="39"/>
      <c r="I228" s="39"/>
      <c r="J228" s="39"/>
      <c r="K228" s="39"/>
      <c r="L228" s="44">
        <f>SUM(L229:L239)-SUMIF(CE229:CE239, 1, L229:L239)</f>
        <v>968.49000000000012</v>
      </c>
    </row>
    <row r="229" spans="1:83" ht="15" x14ac:dyDescent="0.2">
      <c r="A229" s="36"/>
      <c r="B229" s="39"/>
      <c r="C229" s="36" t="s">
        <v>839</v>
      </c>
      <c r="D229" s="38" t="s">
        <v>509</v>
      </c>
      <c r="E229" s="43"/>
      <c r="F229" s="39"/>
      <c r="G229" s="43">
        <f>Source!V75</f>
        <v>0.4629144</v>
      </c>
      <c r="H229" s="39"/>
      <c r="I229" s="39"/>
      <c r="J229" s="39"/>
      <c r="K229" s="39"/>
      <c r="L229" s="44">
        <f>SUMIF(CE230:CE239, 1, L230:L239)</f>
        <v>301.33999999999997</v>
      </c>
      <c r="CE229">
        <v>1</v>
      </c>
    </row>
    <row r="230" spans="1:83" ht="14.25" x14ac:dyDescent="0.2">
      <c r="A230" s="37"/>
      <c r="B230" s="37" t="s">
        <v>534</v>
      </c>
      <c r="C230" s="37" t="s">
        <v>536</v>
      </c>
      <c r="D230" s="38" t="s">
        <v>515</v>
      </c>
      <c r="E230" s="39">
        <v>0.1</v>
      </c>
      <c r="F230" s="39"/>
      <c r="G230" s="39">
        <f>SmtRes!CX75</f>
        <v>1.1544E-2</v>
      </c>
      <c r="H230" s="41">
        <f>SmtRes!CZ75</f>
        <v>1803.79</v>
      </c>
      <c r="I230" s="40">
        <f>SmtRes!AJ75</f>
        <v>1.28</v>
      </c>
      <c r="J230" s="41">
        <f>ROUND(H230*I230, 2)</f>
        <v>2308.85</v>
      </c>
      <c r="K230" s="40"/>
      <c r="L230" s="41">
        <f>SmtRes!DG75</f>
        <v>26.65</v>
      </c>
    </row>
    <row r="231" spans="1:83" ht="14.25" x14ac:dyDescent="0.2">
      <c r="A231" s="37"/>
      <c r="B231" s="37" t="s">
        <v>516</v>
      </c>
      <c r="C231" s="37" t="s">
        <v>837</v>
      </c>
      <c r="D231" s="38" t="s">
        <v>509</v>
      </c>
      <c r="E231" s="39">
        <f>SmtRes!DO75*SmtRes!AT75</f>
        <v>0.1</v>
      </c>
      <c r="F231" s="39"/>
      <c r="G231" s="39">
        <f>SmtRes!DO75*SmtRes!CX75</f>
        <v>1.1544E-2</v>
      </c>
      <c r="H231" s="41"/>
      <c r="I231" s="40"/>
      <c r="J231" s="41">
        <f>ROUND(SmtRes!AG75/SmtRes!DO75, 2)</f>
        <v>658.94</v>
      </c>
      <c r="K231" s="40"/>
      <c r="L231" s="41">
        <f>SmtRes!DH75</f>
        <v>7.61</v>
      </c>
      <c r="CE231">
        <v>1</v>
      </c>
    </row>
    <row r="232" spans="1:83" ht="28.5" x14ac:dyDescent="0.2">
      <c r="A232" s="37"/>
      <c r="B232" s="37" t="s">
        <v>512</v>
      </c>
      <c r="C232" s="37" t="s">
        <v>514</v>
      </c>
      <c r="D232" s="38" t="s">
        <v>515</v>
      </c>
      <c r="E232" s="39">
        <v>0.12</v>
      </c>
      <c r="F232" s="39"/>
      <c r="G232" s="39">
        <f>SmtRes!CX76</f>
        <v>1.38528E-2</v>
      </c>
      <c r="H232" s="41"/>
      <c r="I232" s="40"/>
      <c r="J232" s="41">
        <f>SmtRes!CZ76</f>
        <v>1551.19</v>
      </c>
      <c r="K232" s="40"/>
      <c r="L232" s="41">
        <f>SmtRes!DG76</f>
        <v>21.49</v>
      </c>
    </row>
    <row r="233" spans="1:83" ht="14.25" x14ac:dyDescent="0.2">
      <c r="A233" s="37"/>
      <c r="B233" s="37" t="s">
        <v>516</v>
      </c>
      <c r="C233" s="37" t="s">
        <v>837</v>
      </c>
      <c r="D233" s="38" t="s">
        <v>509</v>
      </c>
      <c r="E233" s="39">
        <f>SmtRes!DO76*SmtRes!AT76</f>
        <v>0.12</v>
      </c>
      <c r="F233" s="39"/>
      <c r="G233" s="39">
        <f>SmtRes!DO76*SmtRes!CX76</f>
        <v>1.38528E-2</v>
      </c>
      <c r="H233" s="41"/>
      <c r="I233" s="40"/>
      <c r="J233" s="41">
        <f>ROUND(SmtRes!AG76/SmtRes!DO76, 2)</f>
        <v>658.94</v>
      </c>
      <c r="K233" s="40"/>
      <c r="L233" s="41">
        <f>SmtRes!DH76</f>
        <v>9.1300000000000008</v>
      </c>
      <c r="CE233">
        <v>1</v>
      </c>
    </row>
    <row r="234" spans="1:83" ht="28.5" x14ac:dyDescent="0.2">
      <c r="A234" s="37"/>
      <c r="B234" s="37" t="s">
        <v>517</v>
      </c>
      <c r="C234" s="37" t="s">
        <v>519</v>
      </c>
      <c r="D234" s="38" t="s">
        <v>515</v>
      </c>
      <c r="E234" s="39">
        <v>3.6</v>
      </c>
      <c r="F234" s="39"/>
      <c r="G234" s="39">
        <f>SmtRes!CX77</f>
        <v>0.41558400000000001</v>
      </c>
      <c r="H234" s="41">
        <f>SmtRes!CZ77</f>
        <v>1703.3</v>
      </c>
      <c r="I234" s="40">
        <f>SmtRes!AJ77</f>
        <v>1.28</v>
      </c>
      <c r="J234" s="41">
        <f>ROUND(H234*I234, 2)</f>
        <v>2180.2199999999998</v>
      </c>
      <c r="K234" s="40"/>
      <c r="L234" s="41">
        <f>SmtRes!DG77</f>
        <v>906.06</v>
      </c>
    </row>
    <row r="235" spans="1:83" ht="14.25" x14ac:dyDescent="0.2">
      <c r="A235" s="37"/>
      <c r="B235" s="37" t="s">
        <v>516</v>
      </c>
      <c r="C235" s="37" t="s">
        <v>837</v>
      </c>
      <c r="D235" s="38" t="s">
        <v>509</v>
      </c>
      <c r="E235" s="39">
        <f>SmtRes!DO77*SmtRes!AT77</f>
        <v>3.6</v>
      </c>
      <c r="F235" s="39"/>
      <c r="G235" s="39">
        <f>SmtRes!DO77*SmtRes!CX77</f>
        <v>0.41558400000000001</v>
      </c>
      <c r="H235" s="41"/>
      <c r="I235" s="40"/>
      <c r="J235" s="41">
        <f>ROUND(SmtRes!AG77/SmtRes!DO77, 2)</f>
        <v>658.94</v>
      </c>
      <c r="K235" s="40"/>
      <c r="L235" s="41">
        <f>SmtRes!DH77</f>
        <v>273.83999999999997</v>
      </c>
      <c r="CE235">
        <v>1</v>
      </c>
    </row>
    <row r="236" spans="1:83" ht="14.25" x14ac:dyDescent="0.2">
      <c r="A236" s="37"/>
      <c r="B236" s="37" t="s">
        <v>520</v>
      </c>
      <c r="C236" s="37" t="s">
        <v>522</v>
      </c>
      <c r="D236" s="38" t="s">
        <v>515</v>
      </c>
      <c r="E236" s="39">
        <v>0.19</v>
      </c>
      <c r="F236" s="39"/>
      <c r="G236" s="39">
        <f>SmtRes!CX78</f>
        <v>2.1933600000000001E-2</v>
      </c>
      <c r="H236" s="41">
        <f>SmtRes!CZ78</f>
        <v>477.92</v>
      </c>
      <c r="I236" s="40">
        <f>SmtRes!AJ78</f>
        <v>1.21</v>
      </c>
      <c r="J236" s="41">
        <f>ROUND(H236*I236, 2)</f>
        <v>578.28</v>
      </c>
      <c r="K236" s="40"/>
      <c r="L236" s="41">
        <f>SmtRes!DG78</f>
        <v>12.68</v>
      </c>
    </row>
    <row r="237" spans="1:83" ht="14.25" x14ac:dyDescent="0.2">
      <c r="A237" s="37"/>
      <c r="B237" s="37" t="s">
        <v>523</v>
      </c>
      <c r="C237" s="37" t="s">
        <v>838</v>
      </c>
      <c r="D237" s="38" t="s">
        <v>509</v>
      </c>
      <c r="E237" s="39">
        <f>SmtRes!DO78*SmtRes!AT78</f>
        <v>0.19</v>
      </c>
      <c r="F237" s="39"/>
      <c r="G237" s="39">
        <f>SmtRes!DO78*SmtRes!CX78</f>
        <v>2.1933600000000001E-2</v>
      </c>
      <c r="H237" s="41"/>
      <c r="I237" s="40"/>
      <c r="J237" s="41">
        <f>ROUND(SmtRes!AG78/SmtRes!DO78, 2)</f>
        <v>490.55</v>
      </c>
      <c r="K237" s="40"/>
      <c r="L237" s="41">
        <f>SmtRes!DH78</f>
        <v>10.76</v>
      </c>
      <c r="CE237">
        <v>1</v>
      </c>
    </row>
    <row r="238" spans="1:83" ht="14.25" x14ac:dyDescent="0.2">
      <c r="A238" s="37"/>
      <c r="B238" s="37" t="s">
        <v>537</v>
      </c>
      <c r="C238" s="37" t="s">
        <v>539</v>
      </c>
      <c r="D238" s="38" t="s">
        <v>515</v>
      </c>
      <c r="E238" s="39">
        <v>1.46</v>
      </c>
      <c r="F238" s="39"/>
      <c r="G238" s="39">
        <f>SmtRes!CX79</f>
        <v>0.16854240000000001</v>
      </c>
      <c r="H238" s="41">
        <f>SmtRes!CZ79</f>
        <v>4.3499999999999996</v>
      </c>
      <c r="I238" s="40">
        <f>SmtRes!AJ79</f>
        <v>1.23</v>
      </c>
      <c r="J238" s="41">
        <f>ROUND(H238*I238, 2)</f>
        <v>5.35</v>
      </c>
      <c r="K238" s="40"/>
      <c r="L238" s="41">
        <f>SmtRes!DG79</f>
        <v>0.9</v>
      </c>
    </row>
    <row r="239" spans="1:83" ht="28.5" x14ac:dyDescent="0.2">
      <c r="A239" s="37"/>
      <c r="B239" s="37" t="s">
        <v>540</v>
      </c>
      <c r="C239" s="37" t="s">
        <v>542</v>
      </c>
      <c r="D239" s="38" t="s">
        <v>515</v>
      </c>
      <c r="E239" s="39">
        <v>0.1</v>
      </c>
      <c r="F239" s="39"/>
      <c r="G239" s="39">
        <f>SmtRes!CX80</f>
        <v>1.1544E-2</v>
      </c>
      <c r="H239" s="41"/>
      <c r="I239" s="40"/>
      <c r="J239" s="41">
        <f>SmtRes!CZ80</f>
        <v>61.72</v>
      </c>
      <c r="K239" s="40"/>
      <c r="L239" s="41">
        <f>SmtRes!DG80</f>
        <v>0.71</v>
      </c>
    </row>
    <row r="240" spans="1:83" ht="15" x14ac:dyDescent="0.2">
      <c r="A240" s="36"/>
      <c r="B240" s="39">
        <v>4</v>
      </c>
      <c r="C240" s="36" t="s">
        <v>840</v>
      </c>
      <c r="D240" s="38"/>
      <c r="E240" s="43"/>
      <c r="F240" s="39"/>
      <c r="G240" s="43"/>
      <c r="H240" s="39"/>
      <c r="I240" s="39"/>
      <c r="J240" s="39"/>
      <c r="K240" s="39"/>
      <c r="L240" s="44">
        <f>SUM(L241:L253)-SUMIF(CE241:CE253, 1, L241:L253)</f>
        <v>564.66</v>
      </c>
    </row>
    <row r="241" spans="1:82" ht="14.25" x14ac:dyDescent="0.2">
      <c r="A241" s="37"/>
      <c r="B241" s="37" t="s">
        <v>543</v>
      </c>
      <c r="C241" s="37" t="s">
        <v>545</v>
      </c>
      <c r="D241" s="38" t="s">
        <v>129</v>
      </c>
      <c r="E241" s="39">
        <v>1.2</v>
      </c>
      <c r="F241" s="39"/>
      <c r="G241" s="39">
        <f>SmtRes!CX81</f>
        <v>0.13852800000000001</v>
      </c>
      <c r="H241" s="41">
        <f>SmtRes!CZ81</f>
        <v>114.64</v>
      </c>
      <c r="I241" s="40">
        <f>SmtRes!AI81</f>
        <v>0.79</v>
      </c>
      <c r="J241" s="41">
        <f t="shared" ref="J241:J253" si="5">ROUND(H241*I241, 2)</f>
        <v>90.57</v>
      </c>
      <c r="K241" s="40"/>
      <c r="L241" s="41">
        <f>SmtRes!DF81</f>
        <v>12.55</v>
      </c>
    </row>
    <row r="242" spans="1:82" ht="14.25" x14ac:dyDescent="0.2">
      <c r="A242" s="37"/>
      <c r="B242" s="37" t="s">
        <v>546</v>
      </c>
      <c r="C242" s="37" t="s">
        <v>548</v>
      </c>
      <c r="D242" s="38" t="s">
        <v>549</v>
      </c>
      <c r="E242" s="39">
        <v>0.36</v>
      </c>
      <c r="F242" s="39"/>
      <c r="G242" s="39">
        <f>SmtRes!CX82</f>
        <v>4.1558400000000002E-2</v>
      </c>
      <c r="H242" s="41">
        <f>SmtRes!CZ82</f>
        <v>41.38</v>
      </c>
      <c r="I242" s="40">
        <f>SmtRes!AI82</f>
        <v>1.21</v>
      </c>
      <c r="J242" s="41">
        <f t="shared" si="5"/>
        <v>50.07</v>
      </c>
      <c r="K242" s="40"/>
      <c r="L242" s="41">
        <f>SmtRes!DF82</f>
        <v>2.08</v>
      </c>
    </row>
    <row r="243" spans="1:82" ht="42.75" x14ac:dyDescent="0.2">
      <c r="A243" s="37"/>
      <c r="B243" s="37" t="s">
        <v>550</v>
      </c>
      <c r="C243" s="37" t="s">
        <v>552</v>
      </c>
      <c r="D243" s="38" t="s">
        <v>549</v>
      </c>
      <c r="E243" s="39">
        <v>0.44</v>
      </c>
      <c r="F243" s="39"/>
      <c r="G243" s="39">
        <f>SmtRes!CX83</f>
        <v>5.0793600000000001E-2</v>
      </c>
      <c r="H243" s="41">
        <f>SmtRes!CZ83</f>
        <v>155.63</v>
      </c>
      <c r="I243" s="40">
        <f>SmtRes!AI83</f>
        <v>0.95</v>
      </c>
      <c r="J243" s="41">
        <f t="shared" si="5"/>
        <v>147.85</v>
      </c>
      <c r="K243" s="40"/>
      <c r="L243" s="41">
        <f>SmtRes!DF83</f>
        <v>7.51</v>
      </c>
    </row>
    <row r="244" spans="1:82" ht="14.25" x14ac:dyDescent="0.2">
      <c r="A244" s="37"/>
      <c r="B244" s="37" t="s">
        <v>553</v>
      </c>
      <c r="C244" s="37" t="s">
        <v>555</v>
      </c>
      <c r="D244" s="38" t="s">
        <v>549</v>
      </c>
      <c r="E244" s="39">
        <v>21</v>
      </c>
      <c r="F244" s="39"/>
      <c r="G244" s="39">
        <f>SmtRes!CX84</f>
        <v>2.4242400000000002</v>
      </c>
      <c r="H244" s="41">
        <f>SmtRes!CZ84</f>
        <v>174.93</v>
      </c>
      <c r="I244" s="40">
        <f>SmtRes!AI84</f>
        <v>1.1499999999999999</v>
      </c>
      <c r="J244" s="41">
        <f t="shared" si="5"/>
        <v>201.17</v>
      </c>
      <c r="K244" s="40"/>
      <c r="L244" s="41">
        <f>SmtRes!DF84</f>
        <v>487.68</v>
      </c>
    </row>
    <row r="245" spans="1:82" ht="14.25" x14ac:dyDescent="0.2">
      <c r="A245" s="37"/>
      <c r="B245" s="37" t="s">
        <v>556</v>
      </c>
      <c r="C245" s="37" t="s">
        <v>558</v>
      </c>
      <c r="D245" s="38" t="s">
        <v>94</v>
      </c>
      <c r="E245" s="39">
        <v>1.0000000000000001E-5</v>
      </c>
      <c r="F245" s="39"/>
      <c r="G245" s="39">
        <f>SmtRes!CX85</f>
        <v>1.1999999999999999E-6</v>
      </c>
      <c r="H245" s="41">
        <f>SmtRes!CZ85</f>
        <v>70296.2</v>
      </c>
      <c r="I245" s="40">
        <f>SmtRes!AI85</f>
        <v>1.25</v>
      </c>
      <c r="J245" s="41">
        <f t="shared" si="5"/>
        <v>87870.25</v>
      </c>
      <c r="K245" s="40"/>
      <c r="L245" s="41">
        <f>SmtRes!DF85</f>
        <v>0.11</v>
      </c>
    </row>
    <row r="246" spans="1:82" ht="28.5" x14ac:dyDescent="0.2">
      <c r="A246" s="37"/>
      <c r="B246" s="37" t="s">
        <v>559</v>
      </c>
      <c r="C246" s="37" t="s">
        <v>561</v>
      </c>
      <c r="D246" s="38" t="s">
        <v>94</v>
      </c>
      <c r="E246" s="39">
        <v>1E-4</v>
      </c>
      <c r="F246" s="39"/>
      <c r="G246" s="39">
        <f>SmtRes!CX86</f>
        <v>1.15E-5</v>
      </c>
      <c r="H246" s="41">
        <f>SmtRes!CZ86</f>
        <v>231787.35</v>
      </c>
      <c r="I246" s="40">
        <f>SmtRes!AI86</f>
        <v>1.39</v>
      </c>
      <c r="J246" s="41">
        <f t="shared" si="5"/>
        <v>322184.42</v>
      </c>
      <c r="K246" s="40"/>
      <c r="L246" s="41">
        <f>SmtRes!DF86</f>
        <v>3.71</v>
      </c>
    </row>
    <row r="247" spans="1:82" ht="28.5" x14ac:dyDescent="0.2">
      <c r="A247" s="37"/>
      <c r="B247" s="37" t="s">
        <v>564</v>
      </c>
      <c r="C247" s="37" t="s">
        <v>566</v>
      </c>
      <c r="D247" s="38" t="s">
        <v>94</v>
      </c>
      <c r="E247" s="39">
        <v>2.0000000000000001E-4</v>
      </c>
      <c r="F247" s="39"/>
      <c r="G247" s="39">
        <f>SmtRes!CX88</f>
        <v>2.3099999999999999E-5</v>
      </c>
      <c r="H247" s="41">
        <f>SmtRes!CZ88</f>
        <v>105278.81</v>
      </c>
      <c r="I247" s="40">
        <f>SmtRes!AI88</f>
        <v>1.2</v>
      </c>
      <c r="J247" s="41">
        <f t="shared" si="5"/>
        <v>126334.57</v>
      </c>
      <c r="K247" s="40"/>
      <c r="L247" s="41">
        <f>SmtRes!DF88</f>
        <v>2.92</v>
      </c>
    </row>
    <row r="248" spans="1:82" ht="57" x14ac:dyDescent="0.2">
      <c r="A248" s="37"/>
      <c r="B248" s="37" t="s">
        <v>567</v>
      </c>
      <c r="C248" s="37" t="s">
        <v>569</v>
      </c>
      <c r="D248" s="38" t="s">
        <v>570</v>
      </c>
      <c r="E248" s="39">
        <v>1.8700000000000001E-2</v>
      </c>
      <c r="F248" s="39"/>
      <c r="G248" s="39">
        <f>SmtRes!CX89</f>
        <v>2.1586999999999999E-3</v>
      </c>
      <c r="H248" s="41">
        <f>SmtRes!CZ89</f>
        <v>307.83999999999997</v>
      </c>
      <c r="I248" s="40">
        <f>SmtRes!AI89</f>
        <v>0.98</v>
      </c>
      <c r="J248" s="41">
        <f t="shared" si="5"/>
        <v>301.68</v>
      </c>
      <c r="K248" s="40"/>
      <c r="L248" s="41">
        <f>SmtRes!DF89</f>
        <v>0.65</v>
      </c>
    </row>
    <row r="249" spans="1:82" ht="28.5" x14ac:dyDescent="0.2">
      <c r="A249" s="37"/>
      <c r="B249" s="37" t="s">
        <v>571</v>
      </c>
      <c r="C249" s="37" t="s">
        <v>573</v>
      </c>
      <c r="D249" s="38" t="s">
        <v>94</v>
      </c>
      <c r="E249" s="39">
        <v>3.0000000000000001E-5</v>
      </c>
      <c r="F249" s="39"/>
      <c r="G249" s="39">
        <f>SmtRes!CX90</f>
        <v>3.4999999999999999E-6</v>
      </c>
      <c r="H249" s="41">
        <f>SmtRes!CZ90</f>
        <v>60258.2</v>
      </c>
      <c r="I249" s="40">
        <f>SmtRes!AI90</f>
        <v>1.06</v>
      </c>
      <c r="J249" s="41">
        <f t="shared" si="5"/>
        <v>63873.69</v>
      </c>
      <c r="K249" s="40"/>
      <c r="L249" s="41">
        <f>SmtRes!DF90</f>
        <v>0.22</v>
      </c>
    </row>
    <row r="250" spans="1:82" ht="28.5" x14ac:dyDescent="0.2">
      <c r="A250" s="37"/>
      <c r="B250" s="37" t="s">
        <v>574</v>
      </c>
      <c r="C250" s="37" t="s">
        <v>576</v>
      </c>
      <c r="D250" s="38" t="s">
        <v>94</v>
      </c>
      <c r="E250" s="39">
        <v>1.9400000000000001E-3</v>
      </c>
      <c r="F250" s="39"/>
      <c r="G250" s="39">
        <f>SmtRes!CX92</f>
        <v>2.24E-4</v>
      </c>
      <c r="H250" s="41">
        <f>SmtRes!CZ92</f>
        <v>136760</v>
      </c>
      <c r="I250" s="40">
        <f>SmtRes!AI92</f>
        <v>1.1200000000000001</v>
      </c>
      <c r="J250" s="41">
        <f t="shared" si="5"/>
        <v>153171.20000000001</v>
      </c>
      <c r="K250" s="40"/>
      <c r="L250" s="41">
        <f>SmtRes!DF92</f>
        <v>34.31</v>
      </c>
    </row>
    <row r="251" spans="1:82" ht="42.75" x14ac:dyDescent="0.2">
      <c r="A251" s="37"/>
      <c r="B251" s="37" t="s">
        <v>577</v>
      </c>
      <c r="C251" s="37" t="s">
        <v>579</v>
      </c>
      <c r="D251" s="38" t="s">
        <v>129</v>
      </c>
      <c r="E251" s="39">
        <v>1.0300000000000001E-3</v>
      </c>
      <c r="F251" s="39"/>
      <c r="G251" s="39">
        <f>SmtRes!CX93</f>
        <v>1.189E-4</v>
      </c>
      <c r="H251" s="41">
        <f>SmtRes!CZ93</f>
        <v>16496.03</v>
      </c>
      <c r="I251" s="40">
        <f>SmtRes!AI93</f>
        <v>0.78</v>
      </c>
      <c r="J251" s="41">
        <f t="shared" si="5"/>
        <v>12866.9</v>
      </c>
      <c r="K251" s="40"/>
      <c r="L251" s="41">
        <f>SmtRes!DF93</f>
        <v>1.53</v>
      </c>
    </row>
    <row r="252" spans="1:82" ht="14.25" x14ac:dyDescent="0.2">
      <c r="A252" s="37"/>
      <c r="B252" s="37" t="s">
        <v>580</v>
      </c>
      <c r="C252" s="37" t="s">
        <v>582</v>
      </c>
      <c r="D252" s="38" t="s">
        <v>94</v>
      </c>
      <c r="E252" s="39">
        <v>3.1E-4</v>
      </c>
      <c r="F252" s="39"/>
      <c r="G252" s="39">
        <f>SmtRes!CX94</f>
        <v>3.5800000000000003E-5</v>
      </c>
      <c r="H252" s="41">
        <f>SmtRes!CZ94</f>
        <v>51280.15</v>
      </c>
      <c r="I252" s="40">
        <f>SmtRes!AI94</f>
        <v>1.48</v>
      </c>
      <c r="J252" s="41">
        <f t="shared" si="5"/>
        <v>75894.62</v>
      </c>
      <c r="K252" s="40"/>
      <c r="L252" s="41">
        <f>SmtRes!DF94</f>
        <v>2.72</v>
      </c>
    </row>
    <row r="253" spans="1:82" ht="14.25" x14ac:dyDescent="0.2">
      <c r="A253" s="37"/>
      <c r="B253" s="37" t="s">
        <v>583</v>
      </c>
      <c r="C253" s="45" t="s">
        <v>585</v>
      </c>
      <c r="D253" s="46" t="s">
        <v>94</v>
      </c>
      <c r="E253" s="47">
        <v>5.9999999999999995E-4</v>
      </c>
      <c r="F253" s="47"/>
      <c r="G253" s="47">
        <f>SmtRes!CX95</f>
        <v>6.9300000000000004E-5</v>
      </c>
      <c r="H253" s="48">
        <f>SmtRes!CZ95</f>
        <v>98526.45</v>
      </c>
      <c r="I253" s="49">
        <f>SmtRes!AI95</f>
        <v>1.27</v>
      </c>
      <c r="J253" s="48">
        <f t="shared" si="5"/>
        <v>125128.59</v>
      </c>
      <c r="K253" s="49"/>
      <c r="L253" s="48">
        <f>SmtRes!DF95</f>
        <v>8.67</v>
      </c>
    </row>
    <row r="254" spans="1:82" ht="15" x14ac:dyDescent="0.2">
      <c r="A254" s="37"/>
      <c r="B254" s="37"/>
      <c r="C254" s="51" t="s">
        <v>841</v>
      </c>
      <c r="D254" s="38"/>
      <c r="E254" s="39"/>
      <c r="F254" s="39"/>
      <c r="G254" s="39"/>
      <c r="H254" s="41"/>
      <c r="I254" s="40"/>
      <c r="J254" s="41"/>
      <c r="K254" s="40"/>
      <c r="L254" s="41">
        <f>L226+L228+L229+L240</f>
        <v>3873.6</v>
      </c>
    </row>
    <row r="255" spans="1:82" ht="28.5" x14ac:dyDescent="0.2">
      <c r="A255" s="35" t="s">
        <v>868</v>
      </c>
      <c r="B255" s="37" t="str">
        <f>Source!F76</f>
        <v>08.3.08.02-0045</v>
      </c>
      <c r="C255" s="37" t="str">
        <f>Source!G76</f>
        <v>Уголок стальной горячекатаный равнополочный, 63х63х5</v>
      </c>
      <c r="D255" s="38" t="str">
        <f>Source!H76</f>
        <v>т</v>
      </c>
      <c r="E255" s="39">
        <f>SmtRes!AT91</f>
        <v>1</v>
      </c>
      <c r="F255" s="39"/>
      <c r="G255" s="39">
        <f>Source!I76</f>
        <v>0.11544</v>
      </c>
      <c r="H255" s="41">
        <f>Source!AL76+Source!AO76+Source!AM76+Source!AN76</f>
        <v>60419.11</v>
      </c>
      <c r="I255" s="40"/>
      <c r="J255" s="41"/>
      <c r="K255" s="40"/>
      <c r="L255" s="41">
        <f>Source!P76</f>
        <v>6974.78</v>
      </c>
      <c r="AD255">
        <f>ROUND((Source!AT76/100)*((ROUND(ROUND(Source!AO76,2)*Source!I76, 2)+ROUND(ROUND(Source!AN76,2)*Source!I76, 2))), 2)</f>
        <v>0</v>
      </c>
      <c r="AE255">
        <f>ROUND((Source!AU76/100)*((ROUND(ROUND(Source!AO76,2)*Source!I76, 2)+ROUND(ROUND(Source!AN76,2)*Source!I76, 2))), 2)</f>
        <v>0</v>
      </c>
      <c r="AN255">
        <f>L255</f>
        <v>6974.78</v>
      </c>
      <c r="AW255">
        <f>L255</f>
        <v>6974.78</v>
      </c>
      <c r="AZ255">
        <f>Source!X76</f>
        <v>0</v>
      </c>
      <c r="BA255">
        <f>Source!Y76</f>
        <v>0</v>
      </c>
      <c r="CD255">
        <v>1</v>
      </c>
    </row>
    <row r="256" spans="1:82" ht="14.25" x14ac:dyDescent="0.2">
      <c r="A256" s="37"/>
      <c r="B256" s="37"/>
      <c r="C256" s="37" t="s">
        <v>842</v>
      </c>
      <c r="D256" s="38"/>
      <c r="E256" s="39"/>
      <c r="F256" s="39"/>
      <c r="G256" s="39"/>
      <c r="H256" s="41"/>
      <c r="I256" s="40"/>
      <c r="J256" s="41"/>
      <c r="K256" s="40"/>
      <c r="L256" s="41">
        <f>SUM(AR225:AR259)+SUM(AS225:AS259)+SUM(AT225:AT259)+SUM(AU225:AU259)+SUM(AV225:AV259)</f>
        <v>2340.4499999999998</v>
      </c>
    </row>
    <row r="257" spans="1:83" ht="14.25" x14ac:dyDescent="0.2">
      <c r="A257" s="37"/>
      <c r="B257" s="37" t="s">
        <v>102</v>
      </c>
      <c r="C257" s="37" t="s">
        <v>850</v>
      </c>
      <c r="D257" s="38" t="s">
        <v>669</v>
      </c>
      <c r="E257" s="39">
        <f>Source!BZ75</f>
        <v>93</v>
      </c>
      <c r="F257" s="39"/>
      <c r="G257" s="39">
        <f>Source!AT75</f>
        <v>93</v>
      </c>
      <c r="H257" s="41"/>
      <c r="I257" s="40"/>
      <c r="J257" s="41"/>
      <c r="K257" s="40"/>
      <c r="L257" s="41">
        <f>SUM(AZ225:AZ259)</f>
        <v>2176.62</v>
      </c>
    </row>
    <row r="258" spans="1:83" ht="14.25" x14ac:dyDescent="0.2">
      <c r="A258" s="45"/>
      <c r="B258" s="45" t="s">
        <v>103</v>
      </c>
      <c r="C258" s="45" t="s">
        <v>851</v>
      </c>
      <c r="D258" s="46" t="s">
        <v>669</v>
      </c>
      <c r="E258" s="47">
        <f>Source!CA75</f>
        <v>62</v>
      </c>
      <c r="F258" s="47"/>
      <c r="G258" s="47">
        <f>Source!AU75</f>
        <v>62</v>
      </c>
      <c r="H258" s="48"/>
      <c r="I258" s="49"/>
      <c r="J258" s="48"/>
      <c r="K258" s="49"/>
      <c r="L258" s="48">
        <f>SUM(BA225:BA259)</f>
        <v>1451.08</v>
      </c>
    </row>
    <row r="259" spans="1:83" ht="15" x14ac:dyDescent="0.2">
      <c r="C259" s="112" t="s">
        <v>845</v>
      </c>
      <c r="D259" s="112"/>
      <c r="E259" s="112"/>
      <c r="F259" s="112"/>
      <c r="G259" s="112"/>
      <c r="H259" s="112"/>
      <c r="I259" s="113">
        <f>K259/E225</f>
        <v>125399.16839916838</v>
      </c>
      <c r="J259" s="113"/>
      <c r="K259" s="113">
        <f>L226+L228+L240+L257+L258+L229+SUM(L255:L255)</f>
        <v>14476.079999999998</v>
      </c>
      <c r="L259" s="113"/>
      <c r="AD259">
        <f>ROUND((Source!AT75/100)*((ROUND(SUMIF(SmtRes!AQ73:'SmtRes'!AQ95,"=1",SmtRes!AD73:'SmtRes'!AD95)*Source!I75, 2)+ROUND(SUMIF(SmtRes!AQ73:'SmtRes'!AQ95,"=1",SmtRes!AC73:'SmtRes'!AC95)*Source!I75, 2))), 2)</f>
        <v>312.83999999999997</v>
      </c>
      <c r="AE259">
        <f>ROUND((Source!AU75/100)*((ROUND(SUMIF(SmtRes!AQ73:'SmtRes'!AQ95,"=1",SmtRes!AD73:'SmtRes'!AD95)*Source!I75, 2)+ROUND(SUMIF(SmtRes!AQ73:'SmtRes'!AQ95,"=1",SmtRes!AC73:'SmtRes'!AC95)*Source!I75, 2))), 2)</f>
        <v>208.56</v>
      </c>
      <c r="AN259" s="50">
        <f>L226+L228+L240+L257+L258+L229</f>
        <v>7501.2999999999993</v>
      </c>
      <c r="AO259" s="50">
        <f>L228</f>
        <v>968.49000000000012</v>
      </c>
      <c r="AQ259" t="s">
        <v>846</v>
      </c>
      <c r="AR259" s="50">
        <f>L226</f>
        <v>2039.11</v>
      </c>
      <c r="AT259" s="50">
        <f>L229</f>
        <v>301.33999999999997</v>
      </c>
      <c r="AV259" t="s">
        <v>846</v>
      </c>
      <c r="AW259" s="50">
        <f>L240</f>
        <v>564.66</v>
      </c>
      <c r="AZ259">
        <f>Source!X75</f>
        <v>2176.62</v>
      </c>
      <c r="BA259">
        <f>Source!Y75</f>
        <v>1451.08</v>
      </c>
      <c r="CD259">
        <v>1</v>
      </c>
    </row>
    <row r="260" spans="1:83" ht="42.75" x14ac:dyDescent="0.2">
      <c r="A260" s="35" t="s">
        <v>163</v>
      </c>
      <c r="B260" s="37" t="s">
        <v>869</v>
      </c>
      <c r="C260" s="37" t="str">
        <f>Source!G77</f>
        <v>Гидроизоляция стен, фундаментов: боковая оклеечная по выровненной поверхности бутовой кладки, кирпичу и бетону в 2 слоя</v>
      </c>
      <c r="D260" s="38" t="str">
        <f>Source!H77</f>
        <v>100 м2</v>
      </c>
      <c r="E260" s="39">
        <f>Source!K77</f>
        <v>0.81820000000000004</v>
      </c>
      <c r="F260" s="39"/>
      <c r="G260" s="39">
        <f>Source!I77</f>
        <v>0.81820000000000004</v>
      </c>
      <c r="H260" s="41"/>
      <c r="I260" s="40"/>
      <c r="J260" s="41"/>
      <c r="K260" s="40"/>
      <c r="L260" s="41"/>
    </row>
    <row r="261" spans="1:83" x14ac:dyDescent="0.2">
      <c r="C261" s="58" t="str">
        <f>"Объем: "&amp;Source!I77&amp;"=81,82/"&amp;"100"</f>
        <v>Объем: 0,8182=81,82/100</v>
      </c>
    </row>
    <row r="262" spans="1:83" ht="15" x14ac:dyDescent="0.2">
      <c r="A262" s="36"/>
      <c r="B262" s="39">
        <v>1</v>
      </c>
      <c r="C262" s="36" t="s">
        <v>835</v>
      </c>
      <c r="D262" s="38" t="s">
        <v>509</v>
      </c>
      <c r="E262" s="43"/>
      <c r="F262" s="39"/>
      <c r="G262" s="43">
        <f>Source!U77</f>
        <v>38.291759999999996</v>
      </c>
      <c r="H262" s="39"/>
      <c r="I262" s="39"/>
      <c r="J262" s="39"/>
      <c r="K262" s="39"/>
      <c r="L262" s="44">
        <f>SUM(L263:L263)-SUMIF(CE263:CE263, 1, L263:L263)</f>
        <v>18573.8</v>
      </c>
    </row>
    <row r="263" spans="1:83" ht="14.25" x14ac:dyDescent="0.2">
      <c r="A263" s="37"/>
      <c r="B263" s="37" t="s">
        <v>604</v>
      </c>
      <c r="C263" s="37" t="s">
        <v>605</v>
      </c>
      <c r="D263" s="38" t="s">
        <v>509</v>
      </c>
      <c r="E263" s="39">
        <v>46.8</v>
      </c>
      <c r="F263" s="39"/>
      <c r="G263" s="39">
        <f>SmtRes!CX96</f>
        <v>38.291759999999996</v>
      </c>
      <c r="H263" s="41"/>
      <c r="I263" s="40"/>
      <c r="J263" s="41">
        <f>SmtRes!CZ96</f>
        <v>485.06</v>
      </c>
      <c r="K263" s="40"/>
      <c r="L263" s="41">
        <f>SmtRes!DI96</f>
        <v>18573.8</v>
      </c>
    </row>
    <row r="264" spans="1:83" ht="15" x14ac:dyDescent="0.2">
      <c r="A264" s="36"/>
      <c r="B264" s="39">
        <v>2</v>
      </c>
      <c r="C264" s="36" t="s">
        <v>836</v>
      </c>
      <c r="D264" s="38"/>
      <c r="E264" s="43"/>
      <c r="F264" s="39"/>
      <c r="G264" s="43"/>
      <c r="H264" s="39"/>
      <c r="I264" s="39"/>
      <c r="J264" s="39"/>
      <c r="K264" s="39"/>
      <c r="L264" s="44">
        <f>SUM(L265:L268)-SUMIF(CE265:CE268, 1, L265:L268)</f>
        <v>611.79</v>
      </c>
    </row>
    <row r="265" spans="1:83" ht="15" x14ac:dyDescent="0.2">
      <c r="A265" s="36"/>
      <c r="B265" s="39"/>
      <c r="C265" s="36" t="s">
        <v>839</v>
      </c>
      <c r="D265" s="38" t="s">
        <v>509</v>
      </c>
      <c r="E265" s="43"/>
      <c r="F265" s="39"/>
      <c r="G265" s="43">
        <f>Source!V77</f>
        <v>0.45001000000000002</v>
      </c>
      <c r="H265" s="39"/>
      <c r="I265" s="39"/>
      <c r="J265" s="39"/>
      <c r="K265" s="39"/>
      <c r="L265" s="44">
        <f>SUMIF(CE266:CE268, 1, L266:L268)</f>
        <v>220.75</v>
      </c>
      <c r="CE265">
        <v>1</v>
      </c>
    </row>
    <row r="266" spans="1:83" ht="42.75" x14ac:dyDescent="0.2">
      <c r="A266" s="37"/>
      <c r="B266" s="37" t="s">
        <v>606</v>
      </c>
      <c r="C266" s="37" t="s">
        <v>608</v>
      </c>
      <c r="D266" s="38" t="s">
        <v>515</v>
      </c>
      <c r="E266" s="39">
        <v>3.58</v>
      </c>
      <c r="F266" s="39"/>
      <c r="G266" s="39">
        <f>SmtRes!CX98</f>
        <v>2.9291559999999999</v>
      </c>
      <c r="H266" s="41">
        <f>SmtRes!CZ98</f>
        <v>95.25</v>
      </c>
      <c r="I266" s="40">
        <f>SmtRes!AJ98</f>
        <v>1.26</v>
      </c>
      <c r="J266" s="41">
        <f>ROUND(H266*I266, 2)</f>
        <v>120.02</v>
      </c>
      <c r="K266" s="40"/>
      <c r="L266" s="41">
        <f>SmtRes!DG98</f>
        <v>351.56</v>
      </c>
    </row>
    <row r="267" spans="1:83" ht="14.25" x14ac:dyDescent="0.2">
      <c r="A267" s="37"/>
      <c r="B267" s="37" t="s">
        <v>520</v>
      </c>
      <c r="C267" s="37" t="s">
        <v>522</v>
      </c>
      <c r="D267" s="38" t="s">
        <v>515</v>
      </c>
      <c r="E267" s="39">
        <v>0.55000000000000004</v>
      </c>
      <c r="F267" s="39"/>
      <c r="G267" s="39">
        <f>SmtRes!CX99</f>
        <v>0.45001000000000002</v>
      </c>
      <c r="H267" s="41">
        <f>SmtRes!CZ99</f>
        <v>477.92</v>
      </c>
      <c r="I267" s="40">
        <f>SmtRes!AJ99</f>
        <v>1.21</v>
      </c>
      <c r="J267" s="41">
        <f>ROUND(H267*I267, 2)</f>
        <v>578.28</v>
      </c>
      <c r="K267" s="40"/>
      <c r="L267" s="41">
        <f>SmtRes!DG99</f>
        <v>260.23</v>
      </c>
    </row>
    <row r="268" spans="1:83" ht="14.25" x14ac:dyDescent="0.2">
      <c r="A268" s="37"/>
      <c r="B268" s="37" t="s">
        <v>523</v>
      </c>
      <c r="C268" s="37" t="s">
        <v>838</v>
      </c>
      <c r="D268" s="38" t="s">
        <v>509</v>
      </c>
      <c r="E268" s="39">
        <f>SmtRes!DO99*SmtRes!AT99</f>
        <v>0.55000000000000004</v>
      </c>
      <c r="F268" s="39"/>
      <c r="G268" s="39">
        <f>SmtRes!DO99*SmtRes!CX99</f>
        <v>0.45001000000000002</v>
      </c>
      <c r="H268" s="41"/>
      <c r="I268" s="40"/>
      <c r="J268" s="41">
        <f>ROUND(SmtRes!AG99/SmtRes!DO99, 2)</f>
        <v>490.55</v>
      </c>
      <c r="K268" s="40"/>
      <c r="L268" s="41">
        <f>SmtRes!DH99</f>
        <v>220.75</v>
      </c>
      <c r="CE268">
        <v>1</v>
      </c>
    </row>
    <row r="269" spans="1:83" ht="15" x14ac:dyDescent="0.2">
      <c r="A269" s="36"/>
      <c r="B269" s="39">
        <v>4</v>
      </c>
      <c r="C269" s="36" t="s">
        <v>840</v>
      </c>
      <c r="D269" s="38"/>
      <c r="E269" s="43"/>
      <c r="F269" s="39"/>
      <c r="G269" s="43"/>
      <c r="H269" s="39"/>
      <c r="I269" s="39"/>
      <c r="J269" s="39"/>
      <c r="K269" s="39"/>
      <c r="L269" s="44">
        <f>SUM(L270:L270)-SUMIF(CE270:CE270, 1, L270:L270)</f>
        <v>1306.6300000000001</v>
      </c>
    </row>
    <row r="270" spans="1:83" ht="14.25" x14ac:dyDescent="0.2">
      <c r="A270" s="37"/>
      <c r="B270" s="37" t="s">
        <v>613</v>
      </c>
      <c r="C270" s="45" t="s">
        <v>615</v>
      </c>
      <c r="D270" s="46" t="s">
        <v>94</v>
      </c>
      <c r="E270" s="47">
        <v>2.4E-2</v>
      </c>
      <c r="F270" s="47"/>
      <c r="G270" s="47">
        <f>SmtRes!CX102</f>
        <v>1.9636799999999999E-2</v>
      </c>
      <c r="H270" s="48">
        <f>SmtRes!CZ102</f>
        <v>62186.75</v>
      </c>
      <c r="I270" s="49">
        <f>SmtRes!AI102</f>
        <v>1.07</v>
      </c>
      <c r="J270" s="48">
        <f>ROUND(H270*I270, 2)</f>
        <v>66539.820000000007</v>
      </c>
      <c r="K270" s="49"/>
      <c r="L270" s="48">
        <f>SmtRes!DF102</f>
        <v>1306.6300000000001</v>
      </c>
    </row>
    <row r="271" spans="1:83" ht="15" x14ac:dyDescent="0.2">
      <c r="A271" s="37"/>
      <c r="B271" s="37"/>
      <c r="C271" s="51" t="s">
        <v>841</v>
      </c>
      <c r="D271" s="38"/>
      <c r="E271" s="39"/>
      <c r="F271" s="39"/>
      <c r="G271" s="39"/>
      <c r="H271" s="41"/>
      <c r="I271" s="40"/>
      <c r="J271" s="41"/>
      <c r="K271" s="40"/>
      <c r="L271" s="41">
        <f>L262+L264+L265+L269</f>
        <v>20712.97</v>
      </c>
    </row>
    <row r="272" spans="1:83" ht="14.25" x14ac:dyDescent="0.2">
      <c r="A272" s="37"/>
      <c r="B272" s="37"/>
      <c r="C272" s="37" t="s">
        <v>842</v>
      </c>
      <c r="D272" s="38"/>
      <c r="E272" s="39"/>
      <c r="F272" s="39"/>
      <c r="G272" s="39"/>
      <c r="H272" s="41"/>
      <c r="I272" s="40"/>
      <c r="J272" s="41"/>
      <c r="K272" s="40"/>
      <c r="L272" s="41">
        <f>SUM(AR260:AR275)+SUM(AS260:AS275)+SUM(AT260:AT275)+SUM(AU260:AU275)+SUM(AV260:AV275)</f>
        <v>18794.55</v>
      </c>
    </row>
    <row r="273" spans="1:83" ht="14.25" x14ac:dyDescent="0.2">
      <c r="A273" s="37"/>
      <c r="B273" s="37" t="s">
        <v>133</v>
      </c>
      <c r="C273" s="37" t="s">
        <v>862</v>
      </c>
      <c r="D273" s="38" t="s">
        <v>669</v>
      </c>
      <c r="E273" s="39">
        <f>Source!BZ77</f>
        <v>110</v>
      </c>
      <c r="F273" s="39"/>
      <c r="G273" s="39">
        <f>Source!AT77</f>
        <v>110</v>
      </c>
      <c r="H273" s="41"/>
      <c r="I273" s="40"/>
      <c r="J273" s="41"/>
      <c r="K273" s="40"/>
      <c r="L273" s="41">
        <f>SUM(AZ260:AZ275)</f>
        <v>20674.009999999998</v>
      </c>
    </row>
    <row r="274" spans="1:83" ht="14.25" x14ac:dyDescent="0.2">
      <c r="A274" s="45"/>
      <c r="B274" s="45" t="s">
        <v>134</v>
      </c>
      <c r="C274" s="45" t="s">
        <v>863</v>
      </c>
      <c r="D274" s="46" t="s">
        <v>669</v>
      </c>
      <c r="E274" s="47">
        <f>Source!CA77</f>
        <v>69</v>
      </c>
      <c r="F274" s="47"/>
      <c r="G274" s="47">
        <f>Source!AU77</f>
        <v>69</v>
      </c>
      <c r="H274" s="48"/>
      <c r="I274" s="49"/>
      <c r="J274" s="48"/>
      <c r="K274" s="49"/>
      <c r="L274" s="48">
        <f>SUM(BA260:BA275)</f>
        <v>12968.24</v>
      </c>
    </row>
    <row r="275" spans="1:83" ht="15" x14ac:dyDescent="0.2">
      <c r="C275" s="112" t="s">
        <v>845</v>
      </c>
      <c r="D275" s="112"/>
      <c r="E275" s="112"/>
      <c r="F275" s="112"/>
      <c r="G275" s="112"/>
      <c r="H275" s="112"/>
      <c r="I275" s="113">
        <f>K275/E260</f>
        <v>66432.681495966739</v>
      </c>
      <c r="J275" s="113"/>
      <c r="K275" s="113">
        <f>L262+L264+L269+L273+L274+L265</f>
        <v>54355.219999999994</v>
      </c>
      <c r="L275" s="113"/>
      <c r="AD275">
        <f>ROUND((Source!AT77/100)*((ROUND(SUMIF(SmtRes!AQ96:'SmtRes'!AQ103,"=1",SmtRes!AD96:'SmtRes'!AD103)*Source!I77, 2)+ROUND(SUMIF(SmtRes!AQ96:'SmtRes'!AQ103,"=1",SmtRes!AC96:'SmtRes'!AC103)*Source!I77, 2))), 2)</f>
        <v>878.08</v>
      </c>
      <c r="AE275">
        <f>ROUND((Source!AU77/100)*((ROUND(SUMIF(SmtRes!AQ96:'SmtRes'!AQ103,"=1",SmtRes!AD96:'SmtRes'!AD103)*Source!I77, 2)+ROUND(SUMIF(SmtRes!AQ96:'SmtRes'!AQ103,"=1",SmtRes!AC96:'SmtRes'!AC103)*Source!I77, 2))), 2)</f>
        <v>550.79</v>
      </c>
      <c r="AN275" s="50">
        <f>L262+L264+L269+L273+L274+L265</f>
        <v>54355.219999999994</v>
      </c>
      <c r="AO275" s="50">
        <f>L264</f>
        <v>611.79</v>
      </c>
      <c r="AQ275" t="s">
        <v>846</v>
      </c>
      <c r="AR275" s="50">
        <f>L262</f>
        <v>18573.8</v>
      </c>
      <c r="AT275" s="50">
        <f>L265</f>
        <v>220.75</v>
      </c>
      <c r="AV275" t="s">
        <v>846</v>
      </c>
      <c r="AW275" s="50">
        <f>L269</f>
        <v>1306.6300000000001</v>
      </c>
      <c r="AZ275">
        <f>Source!X77</f>
        <v>20674.009999999998</v>
      </c>
      <c r="BA275">
        <f>Source!Y77</f>
        <v>12968.24</v>
      </c>
      <c r="CD275">
        <v>1</v>
      </c>
    </row>
    <row r="276" spans="1:83" ht="42.75" x14ac:dyDescent="0.2">
      <c r="A276" s="35" t="s">
        <v>167</v>
      </c>
      <c r="B276" s="37" t="s">
        <v>870</v>
      </c>
      <c r="C276" s="37" t="str">
        <f>Source!G78</f>
        <v>Обезжиривание поверхностей аппаратов и трубопроводов диаметром до 500 мм: уайт-спиритом</v>
      </c>
      <c r="D276" s="38" t="str">
        <f>Source!H78</f>
        <v>100 м2</v>
      </c>
      <c r="E276" s="39">
        <f>Source!K78</f>
        <v>3.125E-2</v>
      </c>
      <c r="F276" s="39"/>
      <c r="G276" s="39">
        <f>Source!I78</f>
        <v>3.125E-2</v>
      </c>
      <c r="H276" s="41"/>
      <c r="I276" s="40"/>
      <c r="J276" s="41"/>
      <c r="K276" s="40"/>
      <c r="L276" s="41"/>
    </row>
    <row r="277" spans="1:83" x14ac:dyDescent="0.2">
      <c r="C277" s="58" t="str">
        <f>"Объем: "&amp;Source!I78&amp;"=3,125/"&amp;"100"</f>
        <v>Объем: 0,03125=3,125/100</v>
      </c>
    </row>
    <row r="278" spans="1:83" ht="15" x14ac:dyDescent="0.2">
      <c r="A278" s="36"/>
      <c r="B278" s="39">
        <v>1</v>
      </c>
      <c r="C278" s="36" t="s">
        <v>835</v>
      </c>
      <c r="D278" s="38" t="s">
        <v>509</v>
      </c>
      <c r="E278" s="43"/>
      <c r="F278" s="39"/>
      <c r="G278" s="43">
        <f>Source!U78</f>
        <v>0.28375</v>
      </c>
      <c r="H278" s="39"/>
      <c r="I278" s="39"/>
      <c r="J278" s="39"/>
      <c r="K278" s="39"/>
      <c r="L278" s="44">
        <f>SUM(L279:L279)-SUMIF(CE279:CE279, 1, L279:L279)</f>
        <v>126.73</v>
      </c>
    </row>
    <row r="279" spans="1:83" ht="14.25" x14ac:dyDescent="0.2">
      <c r="A279" s="37"/>
      <c r="B279" s="37" t="s">
        <v>507</v>
      </c>
      <c r="C279" s="37" t="s">
        <v>508</v>
      </c>
      <c r="D279" s="38" t="s">
        <v>509</v>
      </c>
      <c r="E279" s="39">
        <v>9.08</v>
      </c>
      <c r="F279" s="39"/>
      <c r="G279" s="39">
        <f>SmtRes!CX104</f>
        <v>0.28375</v>
      </c>
      <c r="H279" s="41"/>
      <c r="I279" s="40"/>
      <c r="J279" s="41">
        <f>SmtRes!CZ104</f>
        <v>446.62</v>
      </c>
      <c r="K279" s="40"/>
      <c r="L279" s="41">
        <f>SmtRes!DI104</f>
        <v>126.73</v>
      </c>
    </row>
    <row r="280" spans="1:83" ht="15" x14ac:dyDescent="0.2">
      <c r="A280" s="36"/>
      <c r="B280" s="39">
        <v>2</v>
      </c>
      <c r="C280" s="36" t="s">
        <v>836</v>
      </c>
      <c r="D280" s="38"/>
      <c r="E280" s="43"/>
      <c r="F280" s="39"/>
      <c r="G280" s="43"/>
      <c r="H280" s="39"/>
      <c r="I280" s="39"/>
      <c r="J280" s="39"/>
      <c r="K280" s="39"/>
      <c r="L280" s="44">
        <f>SUM(L281:L286)-SUMIF(CE281:CE286, 1, L281:L286)</f>
        <v>0.85000000000000009</v>
      </c>
    </row>
    <row r="281" spans="1:83" ht="15" x14ac:dyDescent="0.2">
      <c r="A281" s="36"/>
      <c r="B281" s="39"/>
      <c r="C281" s="36" t="s">
        <v>839</v>
      </c>
      <c r="D281" s="38" t="s">
        <v>509</v>
      </c>
      <c r="E281" s="43"/>
      <c r="F281" s="39"/>
      <c r="G281" s="43">
        <f>Source!V78</f>
        <v>9.3749999999999997E-4</v>
      </c>
      <c r="H281" s="39"/>
      <c r="I281" s="39"/>
      <c r="J281" s="39"/>
      <c r="K281" s="39"/>
      <c r="L281" s="44">
        <f>SUMIF(CE282:CE286, 1, L282:L286)</f>
        <v>0.49</v>
      </c>
      <c r="CE281">
        <v>1</v>
      </c>
    </row>
    <row r="282" spans="1:83" ht="28.5" x14ac:dyDescent="0.2">
      <c r="A282" s="37"/>
      <c r="B282" s="37" t="s">
        <v>619</v>
      </c>
      <c r="C282" s="37" t="s">
        <v>621</v>
      </c>
      <c r="D282" s="38" t="s">
        <v>515</v>
      </c>
      <c r="E282" s="39">
        <v>0.01</v>
      </c>
      <c r="F282" s="39"/>
      <c r="G282" s="39">
        <f>SmtRes!CX106</f>
        <v>3.1250000000000001E-4</v>
      </c>
      <c r="H282" s="41">
        <f>SmtRes!CZ106</f>
        <v>6.62</v>
      </c>
      <c r="I282" s="40">
        <f>SmtRes!AJ106</f>
        <v>1.36</v>
      </c>
      <c r="J282" s="41">
        <f>ROUND(H282*I282, 2)</f>
        <v>9</v>
      </c>
      <c r="K282" s="40"/>
      <c r="L282" s="41">
        <f>SmtRes!DG106</f>
        <v>0</v>
      </c>
    </row>
    <row r="283" spans="1:83" ht="57" x14ac:dyDescent="0.2">
      <c r="A283" s="37"/>
      <c r="B283" s="37" t="s">
        <v>622</v>
      </c>
      <c r="C283" s="37" t="s">
        <v>624</v>
      </c>
      <c r="D283" s="38" t="s">
        <v>515</v>
      </c>
      <c r="E283" s="39">
        <v>0.01</v>
      </c>
      <c r="F283" s="39"/>
      <c r="G283" s="39">
        <f>SmtRes!CX107</f>
        <v>3.1250000000000001E-4</v>
      </c>
      <c r="H283" s="41"/>
      <c r="I283" s="40"/>
      <c r="J283" s="41">
        <f>SmtRes!CZ107</f>
        <v>1558.39</v>
      </c>
      <c r="K283" s="40"/>
      <c r="L283" s="41">
        <f>SmtRes!DG107</f>
        <v>0.49</v>
      </c>
    </row>
    <row r="284" spans="1:83" ht="14.25" x14ac:dyDescent="0.2">
      <c r="A284" s="37"/>
      <c r="B284" s="37" t="s">
        <v>593</v>
      </c>
      <c r="C284" s="37" t="s">
        <v>860</v>
      </c>
      <c r="D284" s="38" t="s">
        <v>509</v>
      </c>
      <c r="E284" s="39">
        <f>SmtRes!DO107*SmtRes!AT107</f>
        <v>0.01</v>
      </c>
      <c r="F284" s="39"/>
      <c r="G284" s="39">
        <f>SmtRes!DO107*SmtRes!CX107</f>
        <v>3.1250000000000001E-4</v>
      </c>
      <c r="H284" s="41"/>
      <c r="I284" s="40"/>
      <c r="J284" s="41">
        <f>ROUND(SmtRes!AG107/SmtRes!DO107, 2)</f>
        <v>563.76</v>
      </c>
      <c r="K284" s="40"/>
      <c r="L284" s="41">
        <f>SmtRes!DH107</f>
        <v>0.18</v>
      </c>
      <c r="CE284">
        <v>1</v>
      </c>
    </row>
    <row r="285" spans="1:83" ht="14.25" x14ac:dyDescent="0.2">
      <c r="A285" s="37"/>
      <c r="B285" s="37" t="s">
        <v>520</v>
      </c>
      <c r="C285" s="37" t="s">
        <v>522</v>
      </c>
      <c r="D285" s="38" t="s">
        <v>515</v>
      </c>
      <c r="E285" s="39">
        <v>0.02</v>
      </c>
      <c r="F285" s="39"/>
      <c r="G285" s="39">
        <f>SmtRes!CX108</f>
        <v>6.2500000000000001E-4</v>
      </c>
      <c r="H285" s="41">
        <f>SmtRes!CZ108</f>
        <v>477.92</v>
      </c>
      <c r="I285" s="40">
        <f>SmtRes!AJ108</f>
        <v>1.21</v>
      </c>
      <c r="J285" s="41">
        <f>ROUND(H285*I285, 2)</f>
        <v>578.28</v>
      </c>
      <c r="K285" s="40"/>
      <c r="L285" s="41">
        <f>SmtRes!DG108</f>
        <v>0.36</v>
      </c>
    </row>
    <row r="286" spans="1:83" ht="14.25" x14ac:dyDescent="0.2">
      <c r="A286" s="37"/>
      <c r="B286" s="37" t="s">
        <v>523</v>
      </c>
      <c r="C286" s="37" t="s">
        <v>838</v>
      </c>
      <c r="D286" s="38" t="s">
        <v>509</v>
      </c>
      <c r="E286" s="39">
        <f>SmtRes!DO108*SmtRes!AT108</f>
        <v>0.02</v>
      </c>
      <c r="F286" s="39"/>
      <c r="G286" s="39">
        <f>SmtRes!DO108*SmtRes!CX108</f>
        <v>6.2500000000000001E-4</v>
      </c>
      <c r="H286" s="41"/>
      <c r="I286" s="40"/>
      <c r="J286" s="41">
        <f>ROUND(SmtRes!AG108/SmtRes!DO108, 2)</f>
        <v>490.55</v>
      </c>
      <c r="K286" s="40"/>
      <c r="L286" s="41">
        <f>SmtRes!DH108</f>
        <v>0.31</v>
      </c>
      <c r="CE286">
        <v>1</v>
      </c>
    </row>
    <row r="287" spans="1:83" ht="15" x14ac:dyDescent="0.2">
      <c r="A287" s="36"/>
      <c r="B287" s="39">
        <v>4</v>
      </c>
      <c r="C287" s="36" t="s">
        <v>840</v>
      </c>
      <c r="D287" s="38"/>
      <c r="E287" s="43"/>
      <c r="F287" s="39"/>
      <c r="G287" s="43"/>
      <c r="H287" s="39"/>
      <c r="I287" s="39"/>
      <c r="J287" s="39"/>
      <c r="K287" s="39"/>
      <c r="L287" s="44">
        <f>SUM(L288:L289)-SUMIF(CE288:CE289, 1, L288:L289)</f>
        <v>89.149999999999991</v>
      </c>
    </row>
    <row r="288" spans="1:83" ht="14.25" x14ac:dyDescent="0.2">
      <c r="A288" s="37"/>
      <c r="B288" s="37" t="s">
        <v>625</v>
      </c>
      <c r="C288" s="37" t="s">
        <v>627</v>
      </c>
      <c r="D288" s="38" t="s">
        <v>549</v>
      </c>
      <c r="E288" s="39">
        <v>5</v>
      </c>
      <c r="F288" s="39"/>
      <c r="G288" s="39">
        <f>SmtRes!CX109</f>
        <v>0.15625</v>
      </c>
      <c r="H288" s="41">
        <f>SmtRes!CZ109</f>
        <v>56.11</v>
      </c>
      <c r="I288" s="40">
        <f>SmtRes!AI109</f>
        <v>1.39</v>
      </c>
      <c r="J288" s="41">
        <f>ROUND(H288*I288, 2)</f>
        <v>77.989999999999995</v>
      </c>
      <c r="K288" s="40"/>
      <c r="L288" s="41">
        <f>SmtRes!DF109</f>
        <v>12.19</v>
      </c>
    </row>
    <row r="289" spans="1:83" ht="14.25" x14ac:dyDescent="0.2">
      <c r="A289" s="37"/>
      <c r="B289" s="37" t="s">
        <v>628</v>
      </c>
      <c r="C289" s="45" t="s">
        <v>630</v>
      </c>
      <c r="D289" s="46" t="s">
        <v>549</v>
      </c>
      <c r="E289" s="47">
        <v>32</v>
      </c>
      <c r="F289" s="47"/>
      <c r="G289" s="47">
        <f>SmtRes!CX110</f>
        <v>1</v>
      </c>
      <c r="H289" s="48">
        <f>SmtRes!CZ110</f>
        <v>60.6</v>
      </c>
      <c r="I289" s="49">
        <f>SmtRes!AI110</f>
        <v>1.27</v>
      </c>
      <c r="J289" s="48">
        <f>ROUND(H289*I289, 2)</f>
        <v>76.959999999999994</v>
      </c>
      <c r="K289" s="49"/>
      <c r="L289" s="48">
        <f>SmtRes!DF110</f>
        <v>76.959999999999994</v>
      </c>
    </row>
    <row r="290" spans="1:83" ht="15" x14ac:dyDescent="0.2">
      <c r="A290" s="37"/>
      <c r="B290" s="37"/>
      <c r="C290" s="51" t="s">
        <v>841</v>
      </c>
      <c r="D290" s="38"/>
      <c r="E290" s="39"/>
      <c r="F290" s="39"/>
      <c r="G290" s="39"/>
      <c r="H290" s="41"/>
      <c r="I290" s="40"/>
      <c r="J290" s="41"/>
      <c r="K290" s="40"/>
      <c r="L290" s="41">
        <f>L278+L280+L281+L287</f>
        <v>217.21999999999997</v>
      </c>
    </row>
    <row r="291" spans="1:83" ht="14.25" x14ac:dyDescent="0.2">
      <c r="A291" s="37"/>
      <c r="B291" s="37"/>
      <c r="C291" s="37" t="s">
        <v>842</v>
      </c>
      <c r="D291" s="38"/>
      <c r="E291" s="39"/>
      <c r="F291" s="39"/>
      <c r="G291" s="39"/>
      <c r="H291" s="41"/>
      <c r="I291" s="40"/>
      <c r="J291" s="41"/>
      <c r="K291" s="40"/>
      <c r="L291" s="41">
        <f>SUM(AR276:AR294)+SUM(AS276:AS294)+SUM(AT276:AT294)+SUM(AU276:AU294)+SUM(AV276:AV294)</f>
        <v>127.22</v>
      </c>
    </row>
    <row r="292" spans="1:83" ht="28.5" x14ac:dyDescent="0.2">
      <c r="A292" s="37"/>
      <c r="B292" s="37" t="s">
        <v>174</v>
      </c>
      <c r="C292" s="37" t="s">
        <v>871</v>
      </c>
      <c r="D292" s="38" t="s">
        <v>669</v>
      </c>
      <c r="E292" s="39">
        <f>Source!BZ78</f>
        <v>94</v>
      </c>
      <c r="F292" s="39"/>
      <c r="G292" s="39">
        <f>Source!AT78</f>
        <v>94</v>
      </c>
      <c r="H292" s="41"/>
      <c r="I292" s="40"/>
      <c r="J292" s="41"/>
      <c r="K292" s="40"/>
      <c r="L292" s="41">
        <f>SUM(AZ276:AZ294)</f>
        <v>119.59</v>
      </c>
    </row>
    <row r="293" spans="1:83" ht="28.5" x14ac:dyDescent="0.2">
      <c r="A293" s="45"/>
      <c r="B293" s="45" t="s">
        <v>175</v>
      </c>
      <c r="C293" s="45" t="s">
        <v>872</v>
      </c>
      <c r="D293" s="46" t="s">
        <v>669</v>
      </c>
      <c r="E293" s="47">
        <f>Source!CA78</f>
        <v>51</v>
      </c>
      <c r="F293" s="47"/>
      <c r="G293" s="47">
        <f>Source!AU78</f>
        <v>51</v>
      </c>
      <c r="H293" s="48"/>
      <c r="I293" s="49"/>
      <c r="J293" s="48"/>
      <c r="K293" s="49"/>
      <c r="L293" s="48">
        <f>SUM(BA276:BA294)</f>
        <v>64.88</v>
      </c>
    </row>
    <row r="294" spans="1:83" ht="15" x14ac:dyDescent="0.2">
      <c r="C294" s="112" t="s">
        <v>845</v>
      </c>
      <c r="D294" s="112"/>
      <c r="E294" s="112"/>
      <c r="F294" s="112"/>
      <c r="G294" s="112"/>
      <c r="H294" s="112"/>
      <c r="I294" s="113">
        <f>K294/E276</f>
        <v>12854.08</v>
      </c>
      <c r="J294" s="113"/>
      <c r="K294" s="113">
        <f>L278+L280+L287+L292+L293+L281</f>
        <v>401.69</v>
      </c>
      <c r="L294" s="113"/>
      <c r="AD294">
        <f>ROUND((Source!AT78/100)*((ROUND(SUMIF(SmtRes!AQ104:'SmtRes'!AQ110,"=1",SmtRes!AD104:'SmtRes'!AD110)*Source!I78, 2)+ROUND(SUMIF(SmtRes!AQ104:'SmtRes'!AQ110,"=1",SmtRes!AC104:'SmtRes'!AC110)*Source!I78, 2))), 2)</f>
        <v>44.1</v>
      </c>
      <c r="AE294">
        <f>ROUND((Source!AU78/100)*((ROUND(SUMIF(SmtRes!AQ104:'SmtRes'!AQ110,"=1",SmtRes!AD104:'SmtRes'!AD110)*Source!I78, 2)+ROUND(SUMIF(SmtRes!AQ104:'SmtRes'!AQ110,"=1",SmtRes!AC104:'SmtRes'!AC110)*Source!I78, 2))), 2)</f>
        <v>23.92</v>
      </c>
      <c r="AN294" s="50">
        <f>L278+L280+L287+L292+L293+L281</f>
        <v>401.69</v>
      </c>
      <c r="AO294" s="50">
        <f>L280</f>
        <v>0.85000000000000009</v>
      </c>
      <c r="AQ294" t="s">
        <v>846</v>
      </c>
      <c r="AR294" s="50">
        <f>L278</f>
        <v>126.73</v>
      </c>
      <c r="AT294" s="50">
        <f>L281</f>
        <v>0.49</v>
      </c>
      <c r="AV294" t="s">
        <v>846</v>
      </c>
      <c r="AW294" s="50">
        <f>L287</f>
        <v>89.149999999999991</v>
      </c>
      <c r="AZ294">
        <f>Source!X78</f>
        <v>119.59</v>
      </c>
      <c r="BA294">
        <f>Source!Y78</f>
        <v>64.88</v>
      </c>
      <c r="CD294">
        <v>1</v>
      </c>
    </row>
    <row r="295" spans="1:83" ht="28.5" x14ac:dyDescent="0.2">
      <c r="A295" s="35" t="s">
        <v>176</v>
      </c>
      <c r="B295" s="37" t="s">
        <v>873</v>
      </c>
      <c r="C295" s="37" t="str">
        <f>Source!G79</f>
        <v>Огрунтовка металлических поверхностей за один раз: грунтовкой ГФ-021</v>
      </c>
      <c r="D295" s="38" t="str">
        <f>Source!H79</f>
        <v>100 м2</v>
      </c>
      <c r="E295" s="39">
        <f>Source!K79</f>
        <v>0.55549999999999999</v>
      </c>
      <c r="F295" s="39"/>
      <c r="G295" s="39">
        <f>Source!I79</f>
        <v>0.55549999999999999</v>
      </c>
      <c r="H295" s="41"/>
      <c r="I295" s="40"/>
      <c r="J295" s="41"/>
      <c r="K295" s="40"/>
      <c r="L295" s="41"/>
    </row>
    <row r="296" spans="1:83" x14ac:dyDescent="0.2">
      <c r="C296" s="58" t="str">
        <f>"Объем: "&amp;Source!I79&amp;"=55,55/"&amp;"100"</f>
        <v>Объем: 0,5555=55,55/100</v>
      </c>
    </row>
    <row r="297" spans="1:83" ht="15" x14ac:dyDescent="0.2">
      <c r="A297" s="36"/>
      <c r="B297" s="39">
        <v>1</v>
      </c>
      <c r="C297" s="36" t="s">
        <v>835</v>
      </c>
      <c r="D297" s="38" t="s">
        <v>509</v>
      </c>
      <c r="E297" s="43"/>
      <c r="F297" s="39"/>
      <c r="G297" s="43">
        <f>Source!U79</f>
        <v>2.9497049999999998</v>
      </c>
      <c r="H297" s="39"/>
      <c r="I297" s="39"/>
      <c r="J297" s="39"/>
      <c r="K297" s="39"/>
      <c r="L297" s="44">
        <f>SUM(L298:L298)-SUMIF(CE298:CE298, 1, L298:L298)</f>
        <v>1598.15</v>
      </c>
    </row>
    <row r="298" spans="1:83" ht="14.25" x14ac:dyDescent="0.2">
      <c r="A298" s="37"/>
      <c r="B298" s="37" t="s">
        <v>631</v>
      </c>
      <c r="C298" s="37" t="s">
        <v>632</v>
      </c>
      <c r="D298" s="38" t="s">
        <v>509</v>
      </c>
      <c r="E298" s="39">
        <v>5.31</v>
      </c>
      <c r="F298" s="39"/>
      <c r="G298" s="39">
        <f>SmtRes!CX111</f>
        <v>2.9497049999999998</v>
      </c>
      <c r="H298" s="41"/>
      <c r="I298" s="40"/>
      <c r="J298" s="41">
        <f>SmtRes!CZ111</f>
        <v>541.79999999999995</v>
      </c>
      <c r="K298" s="40"/>
      <c r="L298" s="41">
        <f>SmtRes!DI111</f>
        <v>1598.15</v>
      </c>
    </row>
    <row r="299" spans="1:83" ht="15" x14ac:dyDescent="0.2">
      <c r="A299" s="36"/>
      <c r="B299" s="39">
        <v>2</v>
      </c>
      <c r="C299" s="36" t="s">
        <v>836</v>
      </c>
      <c r="D299" s="38"/>
      <c r="E299" s="43"/>
      <c r="F299" s="39"/>
      <c r="G299" s="43"/>
      <c r="H299" s="39"/>
      <c r="I299" s="39"/>
      <c r="J299" s="39"/>
      <c r="K299" s="39"/>
      <c r="L299" s="44">
        <f>SUM(L300:L306)-SUMIF(CE300:CE306, 1, L300:L306)</f>
        <v>15.68</v>
      </c>
    </row>
    <row r="300" spans="1:83" ht="15" x14ac:dyDescent="0.2">
      <c r="A300" s="36"/>
      <c r="B300" s="39"/>
      <c r="C300" s="36" t="s">
        <v>839</v>
      </c>
      <c r="D300" s="38" t="s">
        <v>509</v>
      </c>
      <c r="E300" s="43"/>
      <c r="F300" s="39"/>
      <c r="G300" s="43">
        <f>Source!V79</f>
        <v>1.111E-2</v>
      </c>
      <c r="H300" s="39"/>
      <c r="I300" s="39"/>
      <c r="J300" s="39"/>
      <c r="K300" s="39"/>
      <c r="L300" s="44">
        <f>SUMIF(CE301:CE306, 1, L301:L306)</f>
        <v>5.8599999999999994</v>
      </c>
      <c r="CE300">
        <v>1</v>
      </c>
    </row>
    <row r="301" spans="1:83" ht="28.5" x14ac:dyDescent="0.2">
      <c r="A301" s="37"/>
      <c r="B301" s="37" t="s">
        <v>619</v>
      </c>
      <c r="C301" s="37" t="s">
        <v>621</v>
      </c>
      <c r="D301" s="38" t="s">
        <v>515</v>
      </c>
      <c r="E301" s="39">
        <v>0.01</v>
      </c>
      <c r="F301" s="39"/>
      <c r="G301" s="39">
        <f>SmtRes!CX113</f>
        <v>5.555E-3</v>
      </c>
      <c r="H301" s="41">
        <f>SmtRes!CZ113</f>
        <v>6.62</v>
      </c>
      <c r="I301" s="40">
        <f>SmtRes!AJ113</f>
        <v>1.36</v>
      </c>
      <c r="J301" s="41">
        <f>ROUND(H301*I301, 2)</f>
        <v>9</v>
      </c>
      <c r="K301" s="40"/>
      <c r="L301" s="41">
        <f>SmtRes!DG113</f>
        <v>0.05</v>
      </c>
    </row>
    <row r="302" spans="1:83" ht="57" x14ac:dyDescent="0.2">
      <c r="A302" s="37"/>
      <c r="B302" s="37" t="s">
        <v>622</v>
      </c>
      <c r="C302" s="37" t="s">
        <v>624</v>
      </c>
      <c r="D302" s="38" t="s">
        <v>515</v>
      </c>
      <c r="E302" s="39">
        <v>0.01</v>
      </c>
      <c r="F302" s="39"/>
      <c r="G302" s="39">
        <f>SmtRes!CX114</f>
        <v>5.555E-3</v>
      </c>
      <c r="H302" s="41"/>
      <c r="I302" s="40"/>
      <c r="J302" s="41">
        <f>SmtRes!CZ114</f>
        <v>1558.39</v>
      </c>
      <c r="K302" s="40"/>
      <c r="L302" s="41">
        <f>SmtRes!DG114</f>
        <v>8.66</v>
      </c>
    </row>
    <row r="303" spans="1:83" ht="14.25" x14ac:dyDescent="0.2">
      <c r="A303" s="37"/>
      <c r="B303" s="37" t="s">
        <v>593</v>
      </c>
      <c r="C303" s="37" t="s">
        <v>860</v>
      </c>
      <c r="D303" s="38" t="s">
        <v>509</v>
      </c>
      <c r="E303" s="39">
        <f>SmtRes!DO114*SmtRes!AT114</f>
        <v>0.01</v>
      </c>
      <c r="F303" s="39"/>
      <c r="G303" s="39">
        <f>SmtRes!DO114*SmtRes!CX114</f>
        <v>5.555E-3</v>
      </c>
      <c r="H303" s="41"/>
      <c r="I303" s="40"/>
      <c r="J303" s="41">
        <f>ROUND(SmtRes!AG114/SmtRes!DO114, 2)</f>
        <v>563.76</v>
      </c>
      <c r="K303" s="40"/>
      <c r="L303" s="41">
        <f>SmtRes!DH114</f>
        <v>3.13</v>
      </c>
      <c r="CE303">
        <v>1</v>
      </c>
    </row>
    <row r="304" spans="1:83" ht="14.25" x14ac:dyDescent="0.2">
      <c r="A304" s="37"/>
      <c r="B304" s="37" t="s">
        <v>520</v>
      </c>
      <c r="C304" s="37" t="s">
        <v>522</v>
      </c>
      <c r="D304" s="38" t="s">
        <v>515</v>
      </c>
      <c r="E304" s="39">
        <v>0.01</v>
      </c>
      <c r="F304" s="39"/>
      <c r="G304" s="39">
        <f>SmtRes!CX115</f>
        <v>5.555E-3</v>
      </c>
      <c r="H304" s="41">
        <f>SmtRes!CZ115</f>
        <v>477.92</v>
      </c>
      <c r="I304" s="40">
        <f>SmtRes!AJ115</f>
        <v>1.21</v>
      </c>
      <c r="J304" s="41">
        <f>ROUND(H304*I304, 2)</f>
        <v>578.28</v>
      </c>
      <c r="K304" s="40"/>
      <c r="L304" s="41">
        <f>SmtRes!DG115</f>
        <v>3.21</v>
      </c>
    </row>
    <row r="305" spans="1:83" ht="14.25" x14ac:dyDescent="0.2">
      <c r="A305" s="37"/>
      <c r="B305" s="37" t="s">
        <v>523</v>
      </c>
      <c r="C305" s="37" t="s">
        <v>838</v>
      </c>
      <c r="D305" s="38" t="s">
        <v>509</v>
      </c>
      <c r="E305" s="39">
        <f>SmtRes!DO115*SmtRes!AT115</f>
        <v>0.01</v>
      </c>
      <c r="F305" s="39"/>
      <c r="G305" s="39">
        <f>SmtRes!DO115*SmtRes!CX115</f>
        <v>5.555E-3</v>
      </c>
      <c r="H305" s="41"/>
      <c r="I305" s="40"/>
      <c r="J305" s="41">
        <f>ROUND(SmtRes!AG115/SmtRes!DO115, 2)</f>
        <v>490.55</v>
      </c>
      <c r="K305" s="40"/>
      <c r="L305" s="41">
        <f>SmtRes!DH115</f>
        <v>2.73</v>
      </c>
      <c r="CE305">
        <v>1</v>
      </c>
    </row>
    <row r="306" spans="1:83" ht="42.75" x14ac:dyDescent="0.2">
      <c r="A306" s="37"/>
      <c r="B306" s="37" t="s">
        <v>633</v>
      </c>
      <c r="C306" s="37" t="s">
        <v>635</v>
      </c>
      <c r="D306" s="38" t="s">
        <v>515</v>
      </c>
      <c r="E306" s="39">
        <v>1.1200000000000001</v>
      </c>
      <c r="F306" s="39"/>
      <c r="G306" s="39">
        <f>SmtRes!CX116</f>
        <v>0.62216000000000005</v>
      </c>
      <c r="H306" s="41"/>
      <c r="I306" s="40"/>
      <c r="J306" s="41">
        <f>SmtRes!CZ116</f>
        <v>6.04</v>
      </c>
      <c r="K306" s="40"/>
      <c r="L306" s="41">
        <f>SmtRes!DG116</f>
        <v>3.76</v>
      </c>
    </row>
    <row r="307" spans="1:83" ht="15" x14ac:dyDescent="0.2">
      <c r="A307" s="36"/>
      <c r="B307" s="39">
        <v>4</v>
      </c>
      <c r="C307" s="36" t="s">
        <v>840</v>
      </c>
      <c r="D307" s="38"/>
      <c r="E307" s="43"/>
      <c r="F307" s="39"/>
      <c r="G307" s="43"/>
      <c r="H307" s="39"/>
      <c r="I307" s="39"/>
      <c r="J307" s="39"/>
      <c r="K307" s="39"/>
      <c r="L307" s="44">
        <f>SUM(L308:L309)-SUMIF(CE308:CE309, 1, L308:L309)</f>
        <v>459.75</v>
      </c>
    </row>
    <row r="308" spans="1:83" ht="14.25" x14ac:dyDescent="0.2">
      <c r="A308" s="37"/>
      <c r="B308" s="37" t="s">
        <v>580</v>
      </c>
      <c r="C308" s="37" t="s">
        <v>582</v>
      </c>
      <c r="D308" s="38" t="s">
        <v>94</v>
      </c>
      <c r="E308" s="39">
        <v>8.9999999999999993E-3</v>
      </c>
      <c r="F308" s="39"/>
      <c r="G308" s="39">
        <f>SmtRes!CX117</f>
        <v>4.9994999999999996E-3</v>
      </c>
      <c r="H308" s="41">
        <f>SmtRes!CZ117</f>
        <v>51280.15</v>
      </c>
      <c r="I308" s="40">
        <f>SmtRes!AI117</f>
        <v>1.48</v>
      </c>
      <c r="J308" s="41">
        <f>ROUND(H308*I308, 2)</f>
        <v>75894.62</v>
      </c>
      <c r="K308" s="40"/>
      <c r="L308" s="41">
        <f>SmtRes!DF117</f>
        <v>379.44</v>
      </c>
    </row>
    <row r="309" spans="1:83" ht="14.25" x14ac:dyDescent="0.2">
      <c r="A309" s="37"/>
      <c r="B309" s="37" t="s">
        <v>636</v>
      </c>
      <c r="C309" s="45" t="s">
        <v>638</v>
      </c>
      <c r="D309" s="46" t="s">
        <v>94</v>
      </c>
      <c r="E309" s="47">
        <v>1.5E-3</v>
      </c>
      <c r="F309" s="47"/>
      <c r="G309" s="47">
        <f>SmtRes!CX118</f>
        <v>8.3330000000000003E-4</v>
      </c>
      <c r="H309" s="48">
        <f>SmtRes!CZ118</f>
        <v>75885.63</v>
      </c>
      <c r="I309" s="49">
        <f>SmtRes!AI118</f>
        <v>1.27</v>
      </c>
      <c r="J309" s="48">
        <f>ROUND(H309*I309, 2)</f>
        <v>96374.75</v>
      </c>
      <c r="K309" s="49"/>
      <c r="L309" s="48">
        <f>SmtRes!DF118</f>
        <v>80.31</v>
      </c>
    </row>
    <row r="310" spans="1:83" ht="15" x14ac:dyDescent="0.2">
      <c r="A310" s="37"/>
      <c r="B310" s="37"/>
      <c r="C310" s="51" t="s">
        <v>841</v>
      </c>
      <c r="D310" s="38"/>
      <c r="E310" s="39"/>
      <c r="F310" s="39"/>
      <c r="G310" s="39"/>
      <c r="H310" s="41"/>
      <c r="I310" s="40"/>
      <c r="J310" s="41"/>
      <c r="K310" s="40"/>
      <c r="L310" s="41">
        <f>L297+L299+L300+L307</f>
        <v>2079.44</v>
      </c>
    </row>
    <row r="311" spans="1:83" ht="14.25" x14ac:dyDescent="0.2">
      <c r="A311" s="37"/>
      <c r="B311" s="37"/>
      <c r="C311" s="37" t="s">
        <v>842</v>
      </c>
      <c r="D311" s="38"/>
      <c r="E311" s="39"/>
      <c r="F311" s="39"/>
      <c r="G311" s="39"/>
      <c r="H311" s="41"/>
      <c r="I311" s="40"/>
      <c r="J311" s="41"/>
      <c r="K311" s="40"/>
      <c r="L311" s="41">
        <f>SUM(AR295:AR314)+SUM(AS295:AS314)+SUM(AT295:AT314)+SUM(AU295:AU314)+SUM(AV295:AV314)</f>
        <v>1604.01</v>
      </c>
    </row>
    <row r="312" spans="1:83" ht="28.5" x14ac:dyDescent="0.2">
      <c r="A312" s="37"/>
      <c r="B312" s="37" t="s">
        <v>174</v>
      </c>
      <c r="C312" s="37" t="s">
        <v>871</v>
      </c>
      <c r="D312" s="38" t="s">
        <v>669</v>
      </c>
      <c r="E312" s="39">
        <f>Source!BZ79</f>
        <v>94</v>
      </c>
      <c r="F312" s="39"/>
      <c r="G312" s="39">
        <f>Source!AT79</f>
        <v>94</v>
      </c>
      <c r="H312" s="41"/>
      <c r="I312" s="40"/>
      <c r="J312" s="41"/>
      <c r="K312" s="40"/>
      <c r="L312" s="41">
        <f>SUM(AZ295:AZ314)</f>
        <v>1507.77</v>
      </c>
    </row>
    <row r="313" spans="1:83" ht="28.5" x14ac:dyDescent="0.2">
      <c r="A313" s="45"/>
      <c r="B313" s="45" t="s">
        <v>175</v>
      </c>
      <c r="C313" s="45" t="s">
        <v>872</v>
      </c>
      <c r="D313" s="46" t="s">
        <v>669</v>
      </c>
      <c r="E313" s="47">
        <f>Source!CA79</f>
        <v>51</v>
      </c>
      <c r="F313" s="47"/>
      <c r="G313" s="47">
        <f>Source!AU79</f>
        <v>51</v>
      </c>
      <c r="H313" s="48"/>
      <c r="I313" s="49"/>
      <c r="J313" s="48"/>
      <c r="K313" s="49"/>
      <c r="L313" s="48">
        <f>SUM(BA295:BA314)</f>
        <v>818.05</v>
      </c>
    </row>
    <row r="314" spans="1:83" ht="15" x14ac:dyDescent="0.2">
      <c r="C314" s="112" t="s">
        <v>845</v>
      </c>
      <c r="D314" s="112"/>
      <c r="E314" s="112"/>
      <c r="F314" s="112"/>
      <c r="G314" s="112"/>
      <c r="H314" s="112"/>
      <c r="I314" s="113">
        <f>K314/E295</f>
        <v>7930.2610261026093</v>
      </c>
      <c r="J314" s="113"/>
      <c r="K314" s="113">
        <f>L297+L299+L307+L312+L313+L300</f>
        <v>4405.2599999999993</v>
      </c>
      <c r="L314" s="113"/>
      <c r="AD314">
        <f>ROUND((Source!AT79/100)*((ROUND(SUMIF(SmtRes!AQ111:'SmtRes'!AQ118,"=1",SmtRes!AD111:'SmtRes'!AD118)*Source!I79, 2)+ROUND(SUMIF(SmtRes!AQ111:'SmtRes'!AQ118,"=1",SmtRes!AC111:'SmtRes'!AC118)*Source!I79, 2))), 2)</f>
        <v>833.44</v>
      </c>
      <c r="AE314">
        <f>ROUND((Source!AU79/100)*((ROUND(SUMIF(SmtRes!AQ111:'SmtRes'!AQ118,"=1",SmtRes!AD111:'SmtRes'!AD118)*Source!I79, 2)+ROUND(SUMIF(SmtRes!AQ111:'SmtRes'!AQ118,"=1",SmtRes!AC111:'SmtRes'!AC118)*Source!I79, 2))), 2)</f>
        <v>452.19</v>
      </c>
      <c r="AN314" s="50">
        <f>L297+L299+L307+L312+L313+L300</f>
        <v>4405.2599999999993</v>
      </c>
      <c r="AO314" s="50">
        <f>L299</f>
        <v>15.68</v>
      </c>
      <c r="AQ314" t="s">
        <v>846</v>
      </c>
      <c r="AR314" s="50">
        <f>L297</f>
        <v>1598.15</v>
      </c>
      <c r="AT314" s="50">
        <f>L300</f>
        <v>5.8599999999999994</v>
      </c>
      <c r="AV314" t="s">
        <v>846</v>
      </c>
      <c r="AW314" s="50">
        <f>L307</f>
        <v>459.75</v>
      </c>
      <c r="AZ314">
        <f>Source!X79</f>
        <v>1507.77</v>
      </c>
      <c r="BA314">
        <f>Source!Y79</f>
        <v>818.05</v>
      </c>
      <c r="CD314">
        <v>1</v>
      </c>
    </row>
    <row r="315" spans="1:83" ht="28.5" x14ac:dyDescent="0.2">
      <c r="A315" s="35" t="s">
        <v>180</v>
      </c>
      <c r="B315" s="37" t="s">
        <v>874</v>
      </c>
      <c r="C315" s="37" t="str">
        <f>Source!G80</f>
        <v>Окраска металлических огрунтованных поверхностей: эмалью ПФ-115</v>
      </c>
      <c r="D315" s="38" t="str">
        <f>Source!H80</f>
        <v>100 м2</v>
      </c>
      <c r="E315" s="39">
        <f>Source!K80</f>
        <v>0.55549999999999999</v>
      </c>
      <c r="F315" s="39"/>
      <c r="G315" s="39">
        <f>Source!I80</f>
        <v>0.55549999999999999</v>
      </c>
      <c r="H315" s="41"/>
      <c r="I315" s="40"/>
      <c r="J315" s="41"/>
      <c r="K315" s="40"/>
      <c r="L315" s="41"/>
    </row>
    <row r="316" spans="1:83" x14ac:dyDescent="0.2">
      <c r="C316" s="58" t="str">
        <f>"Объем: "&amp;Source!I80&amp;"=55,55/"&amp;"100"</f>
        <v>Объем: 0,5555=55,55/100</v>
      </c>
    </row>
    <row r="317" spans="1:83" ht="15" x14ac:dyDescent="0.2">
      <c r="A317" s="36"/>
      <c r="B317" s="39">
        <v>1</v>
      </c>
      <c r="C317" s="36" t="s">
        <v>835</v>
      </c>
      <c r="D317" s="38" t="s">
        <v>509</v>
      </c>
      <c r="E317" s="43"/>
      <c r="F317" s="39"/>
      <c r="G317" s="43">
        <f>Source!U80</f>
        <v>1.1832149999999999</v>
      </c>
      <c r="H317" s="39"/>
      <c r="I317" s="39"/>
      <c r="J317" s="39"/>
      <c r="K317" s="39"/>
      <c r="L317" s="44">
        <f>SUM(L318:L318)-SUMIF(CE318:CE318, 1, L318:L318)</f>
        <v>547.94000000000005</v>
      </c>
    </row>
    <row r="318" spans="1:83" ht="14.25" x14ac:dyDescent="0.2">
      <c r="A318" s="37"/>
      <c r="B318" s="37" t="s">
        <v>639</v>
      </c>
      <c r="C318" s="37" t="s">
        <v>640</v>
      </c>
      <c r="D318" s="38" t="s">
        <v>509</v>
      </c>
      <c r="E318" s="39">
        <v>2.13</v>
      </c>
      <c r="F318" s="39"/>
      <c r="G318" s="39">
        <f>SmtRes!CX119</f>
        <v>1.1832149999999999</v>
      </c>
      <c r="H318" s="41"/>
      <c r="I318" s="40"/>
      <c r="J318" s="41">
        <f>SmtRes!CZ119</f>
        <v>463.09</v>
      </c>
      <c r="K318" s="40"/>
      <c r="L318" s="41">
        <f>SmtRes!DI119</f>
        <v>547.94000000000005</v>
      </c>
    </row>
    <row r="319" spans="1:83" ht="15" x14ac:dyDescent="0.2">
      <c r="A319" s="36"/>
      <c r="B319" s="39">
        <v>2</v>
      </c>
      <c r="C319" s="36" t="s">
        <v>836</v>
      </c>
      <c r="D319" s="38"/>
      <c r="E319" s="43"/>
      <c r="F319" s="39"/>
      <c r="G319" s="43"/>
      <c r="H319" s="39"/>
      <c r="I319" s="39"/>
      <c r="J319" s="39"/>
      <c r="K319" s="39"/>
      <c r="L319" s="44">
        <f>SUM(L320:L326)-SUMIF(CE320:CE326, 1, L320:L326)</f>
        <v>14.100000000000001</v>
      </c>
    </row>
    <row r="320" spans="1:83" ht="15" x14ac:dyDescent="0.2">
      <c r="A320" s="36"/>
      <c r="B320" s="39"/>
      <c r="C320" s="36" t="s">
        <v>839</v>
      </c>
      <c r="D320" s="38" t="s">
        <v>509</v>
      </c>
      <c r="E320" s="43"/>
      <c r="F320" s="39"/>
      <c r="G320" s="43">
        <f>Source!V80</f>
        <v>1.111E-2</v>
      </c>
      <c r="H320" s="39"/>
      <c r="I320" s="39"/>
      <c r="J320" s="39"/>
      <c r="K320" s="39"/>
      <c r="L320" s="44">
        <f>SUMIF(CE321:CE326, 1, L321:L326)</f>
        <v>5.8599999999999994</v>
      </c>
      <c r="CE320">
        <v>1</v>
      </c>
    </row>
    <row r="321" spans="1:83" ht="28.5" x14ac:dyDescent="0.2">
      <c r="A321" s="37"/>
      <c r="B321" s="37" t="s">
        <v>619</v>
      </c>
      <c r="C321" s="37" t="s">
        <v>621</v>
      </c>
      <c r="D321" s="38" t="s">
        <v>515</v>
      </c>
      <c r="E321" s="39">
        <v>0.01</v>
      </c>
      <c r="F321" s="39"/>
      <c r="G321" s="39">
        <f>SmtRes!CX121</f>
        <v>5.555E-3</v>
      </c>
      <c r="H321" s="41">
        <f>SmtRes!CZ121</f>
        <v>6.62</v>
      </c>
      <c r="I321" s="40">
        <f>SmtRes!AJ121</f>
        <v>1.36</v>
      </c>
      <c r="J321" s="41">
        <f>ROUND(H321*I321, 2)</f>
        <v>9</v>
      </c>
      <c r="K321" s="40"/>
      <c r="L321" s="41">
        <f>SmtRes!DG121</f>
        <v>0.05</v>
      </c>
    </row>
    <row r="322" spans="1:83" ht="57" x14ac:dyDescent="0.2">
      <c r="A322" s="37"/>
      <c r="B322" s="37" t="s">
        <v>622</v>
      </c>
      <c r="C322" s="37" t="s">
        <v>624</v>
      </c>
      <c r="D322" s="38" t="s">
        <v>515</v>
      </c>
      <c r="E322" s="39">
        <v>0.01</v>
      </c>
      <c r="F322" s="39"/>
      <c r="G322" s="39">
        <f>SmtRes!CX122</f>
        <v>5.555E-3</v>
      </c>
      <c r="H322" s="41"/>
      <c r="I322" s="40"/>
      <c r="J322" s="41">
        <f>SmtRes!CZ122</f>
        <v>1558.39</v>
      </c>
      <c r="K322" s="40"/>
      <c r="L322" s="41">
        <f>SmtRes!DG122</f>
        <v>8.66</v>
      </c>
    </row>
    <row r="323" spans="1:83" ht="14.25" x14ac:dyDescent="0.2">
      <c r="A323" s="37"/>
      <c r="B323" s="37" t="s">
        <v>593</v>
      </c>
      <c r="C323" s="37" t="s">
        <v>860</v>
      </c>
      <c r="D323" s="38" t="s">
        <v>509</v>
      </c>
      <c r="E323" s="39">
        <f>SmtRes!DO122*SmtRes!AT122</f>
        <v>0.01</v>
      </c>
      <c r="F323" s="39"/>
      <c r="G323" s="39">
        <f>SmtRes!DO122*SmtRes!CX122</f>
        <v>5.555E-3</v>
      </c>
      <c r="H323" s="41"/>
      <c r="I323" s="40"/>
      <c r="J323" s="41">
        <f>ROUND(SmtRes!AG122/SmtRes!DO122, 2)</f>
        <v>563.76</v>
      </c>
      <c r="K323" s="40"/>
      <c r="L323" s="41">
        <f>SmtRes!DH122</f>
        <v>3.13</v>
      </c>
      <c r="CE323">
        <v>1</v>
      </c>
    </row>
    <row r="324" spans="1:83" ht="14.25" x14ac:dyDescent="0.2">
      <c r="A324" s="37"/>
      <c r="B324" s="37" t="s">
        <v>520</v>
      </c>
      <c r="C324" s="37" t="s">
        <v>522</v>
      </c>
      <c r="D324" s="38" t="s">
        <v>515</v>
      </c>
      <c r="E324" s="39">
        <v>0.01</v>
      </c>
      <c r="F324" s="39"/>
      <c r="G324" s="39">
        <f>SmtRes!CX123</f>
        <v>5.555E-3</v>
      </c>
      <c r="H324" s="41">
        <f>SmtRes!CZ123</f>
        <v>477.92</v>
      </c>
      <c r="I324" s="40">
        <f>SmtRes!AJ123</f>
        <v>1.21</v>
      </c>
      <c r="J324" s="41">
        <f>ROUND(H324*I324, 2)</f>
        <v>578.28</v>
      </c>
      <c r="K324" s="40"/>
      <c r="L324" s="41">
        <f>SmtRes!DG123</f>
        <v>3.21</v>
      </c>
    </row>
    <row r="325" spans="1:83" ht="14.25" x14ac:dyDescent="0.2">
      <c r="A325" s="37"/>
      <c r="B325" s="37" t="s">
        <v>523</v>
      </c>
      <c r="C325" s="37" t="s">
        <v>838</v>
      </c>
      <c r="D325" s="38" t="s">
        <v>509</v>
      </c>
      <c r="E325" s="39">
        <f>SmtRes!DO123*SmtRes!AT123</f>
        <v>0.01</v>
      </c>
      <c r="F325" s="39"/>
      <c r="G325" s="39">
        <f>SmtRes!DO123*SmtRes!CX123</f>
        <v>5.555E-3</v>
      </c>
      <c r="H325" s="41"/>
      <c r="I325" s="40"/>
      <c r="J325" s="41">
        <f>ROUND(SmtRes!AG123/SmtRes!DO123, 2)</f>
        <v>490.55</v>
      </c>
      <c r="K325" s="40"/>
      <c r="L325" s="41">
        <f>SmtRes!DH123</f>
        <v>2.73</v>
      </c>
      <c r="CE325">
        <v>1</v>
      </c>
    </row>
    <row r="326" spans="1:83" ht="42.75" x14ac:dyDescent="0.2">
      <c r="A326" s="37"/>
      <c r="B326" s="37" t="s">
        <v>633</v>
      </c>
      <c r="C326" s="37" t="s">
        <v>635</v>
      </c>
      <c r="D326" s="38" t="s">
        <v>515</v>
      </c>
      <c r="E326" s="39">
        <v>0.65</v>
      </c>
      <c r="F326" s="39"/>
      <c r="G326" s="39">
        <f>SmtRes!CX124</f>
        <v>0.36107499999999998</v>
      </c>
      <c r="H326" s="41"/>
      <c r="I326" s="40"/>
      <c r="J326" s="41">
        <f>SmtRes!CZ124</f>
        <v>6.04</v>
      </c>
      <c r="K326" s="40"/>
      <c r="L326" s="41">
        <f>SmtRes!DG124</f>
        <v>2.1800000000000002</v>
      </c>
    </row>
    <row r="327" spans="1:83" ht="15" x14ac:dyDescent="0.2">
      <c r="A327" s="36"/>
      <c r="B327" s="39">
        <v>4</v>
      </c>
      <c r="C327" s="36" t="s">
        <v>840</v>
      </c>
      <c r="D327" s="38"/>
      <c r="E327" s="43"/>
      <c r="F327" s="39"/>
      <c r="G327" s="43"/>
      <c r="H327" s="39"/>
      <c r="I327" s="39"/>
      <c r="J327" s="39"/>
      <c r="K327" s="39"/>
      <c r="L327" s="44">
        <f>SUM(L328:L329)-SUMIF(CE328:CE329, 1, L328:L329)</f>
        <v>573.19000000000005</v>
      </c>
    </row>
    <row r="328" spans="1:83" ht="14.25" x14ac:dyDescent="0.2">
      <c r="A328" s="37"/>
      <c r="B328" s="37" t="s">
        <v>641</v>
      </c>
      <c r="C328" s="37" t="s">
        <v>643</v>
      </c>
      <c r="D328" s="38" t="s">
        <v>94</v>
      </c>
      <c r="E328" s="39">
        <v>8.9999999999999993E-3</v>
      </c>
      <c r="F328" s="39"/>
      <c r="G328" s="39">
        <f>SmtRes!CX125</f>
        <v>4.9994999999999996E-3</v>
      </c>
      <c r="H328" s="41">
        <f>SmtRes!CZ125</f>
        <v>60045.35</v>
      </c>
      <c r="I328" s="40">
        <f>SmtRes!AI125</f>
        <v>1.71</v>
      </c>
      <c r="J328" s="41">
        <f>ROUND(H328*I328, 2)</f>
        <v>102677.55</v>
      </c>
      <c r="K328" s="40"/>
      <c r="L328" s="41">
        <f>SmtRes!DF125</f>
        <v>513.34</v>
      </c>
    </row>
    <row r="329" spans="1:83" ht="14.25" x14ac:dyDescent="0.2">
      <c r="A329" s="37"/>
      <c r="B329" s="37" t="s">
        <v>628</v>
      </c>
      <c r="C329" s="45" t="s">
        <v>630</v>
      </c>
      <c r="D329" s="46" t="s">
        <v>549</v>
      </c>
      <c r="E329" s="47">
        <v>1.4</v>
      </c>
      <c r="F329" s="47"/>
      <c r="G329" s="47">
        <f>SmtRes!CX126</f>
        <v>0.77769999999999995</v>
      </c>
      <c r="H329" s="48">
        <f>SmtRes!CZ126</f>
        <v>60.6</v>
      </c>
      <c r="I329" s="49">
        <f>SmtRes!AI126</f>
        <v>1.27</v>
      </c>
      <c r="J329" s="48">
        <f>ROUND(H329*I329, 2)</f>
        <v>76.959999999999994</v>
      </c>
      <c r="K329" s="49"/>
      <c r="L329" s="48">
        <f>SmtRes!DF126</f>
        <v>59.85</v>
      </c>
    </row>
    <row r="330" spans="1:83" ht="15" x14ac:dyDescent="0.2">
      <c r="A330" s="37"/>
      <c r="B330" s="37"/>
      <c r="C330" s="51" t="s">
        <v>841</v>
      </c>
      <c r="D330" s="38"/>
      <c r="E330" s="39"/>
      <c r="F330" s="39"/>
      <c r="G330" s="39"/>
      <c r="H330" s="41"/>
      <c r="I330" s="40"/>
      <c r="J330" s="41"/>
      <c r="K330" s="40"/>
      <c r="L330" s="41">
        <f>L317+L319+L320+L327</f>
        <v>1141.0900000000001</v>
      </c>
    </row>
    <row r="331" spans="1:83" ht="14.25" x14ac:dyDescent="0.2">
      <c r="A331" s="37"/>
      <c r="B331" s="37"/>
      <c r="C331" s="37" t="s">
        <v>842</v>
      </c>
      <c r="D331" s="38"/>
      <c r="E331" s="39"/>
      <c r="F331" s="39"/>
      <c r="G331" s="39"/>
      <c r="H331" s="41"/>
      <c r="I331" s="40"/>
      <c r="J331" s="41"/>
      <c r="K331" s="40"/>
      <c r="L331" s="41">
        <f>SUM(AR315:AR334)+SUM(AS315:AS334)+SUM(AT315:AT334)+SUM(AU315:AU334)+SUM(AV315:AV334)</f>
        <v>553.80000000000007</v>
      </c>
    </row>
    <row r="332" spans="1:83" ht="28.5" x14ac:dyDescent="0.2">
      <c r="A332" s="37"/>
      <c r="B332" s="37" t="s">
        <v>174</v>
      </c>
      <c r="C332" s="37" t="s">
        <v>871</v>
      </c>
      <c r="D332" s="38" t="s">
        <v>669</v>
      </c>
      <c r="E332" s="39">
        <f>Source!BZ80</f>
        <v>94</v>
      </c>
      <c r="F332" s="39"/>
      <c r="G332" s="39">
        <f>Source!AT80</f>
        <v>94</v>
      </c>
      <c r="H332" s="41"/>
      <c r="I332" s="40"/>
      <c r="J332" s="41"/>
      <c r="K332" s="40"/>
      <c r="L332" s="41">
        <f>SUM(AZ315:AZ334)</f>
        <v>520.57000000000005</v>
      </c>
    </row>
    <row r="333" spans="1:83" ht="28.5" x14ac:dyDescent="0.2">
      <c r="A333" s="45"/>
      <c r="B333" s="45" t="s">
        <v>175</v>
      </c>
      <c r="C333" s="45" t="s">
        <v>872</v>
      </c>
      <c r="D333" s="46" t="s">
        <v>669</v>
      </c>
      <c r="E333" s="47">
        <f>Source!CA80</f>
        <v>51</v>
      </c>
      <c r="F333" s="47"/>
      <c r="G333" s="47">
        <f>Source!AU80</f>
        <v>51</v>
      </c>
      <c r="H333" s="48"/>
      <c r="I333" s="49"/>
      <c r="J333" s="48"/>
      <c r="K333" s="49"/>
      <c r="L333" s="48">
        <f>SUM(BA315:BA334)</f>
        <v>282.44</v>
      </c>
    </row>
    <row r="334" spans="1:83" ht="15" x14ac:dyDescent="0.2">
      <c r="C334" s="112" t="s">
        <v>845</v>
      </c>
      <c r="D334" s="112"/>
      <c r="E334" s="112"/>
      <c r="F334" s="112"/>
      <c r="G334" s="112"/>
      <c r="H334" s="112"/>
      <c r="I334" s="113">
        <f>K334/E315</f>
        <v>3499.7299729973001</v>
      </c>
      <c r="J334" s="113"/>
      <c r="K334" s="113">
        <f>L317+L319+L327+L332+L333+L320</f>
        <v>1944.1000000000001</v>
      </c>
      <c r="L334" s="113"/>
      <c r="AD334">
        <f>ROUND((Source!AT80/100)*((ROUND(SUMIF(SmtRes!AQ119:'SmtRes'!AQ126,"=1",SmtRes!AD119:'SmtRes'!AD126)*Source!I80, 2)+ROUND(SUMIF(SmtRes!AQ119:'SmtRes'!AQ126,"=1",SmtRes!AC119:'SmtRes'!AC126)*Source!I80, 2))), 2)</f>
        <v>792.34</v>
      </c>
      <c r="AE334">
        <f>ROUND((Source!AU80/100)*((ROUND(SUMIF(SmtRes!AQ119:'SmtRes'!AQ126,"=1",SmtRes!AD119:'SmtRes'!AD126)*Source!I80, 2)+ROUND(SUMIF(SmtRes!AQ119:'SmtRes'!AQ126,"=1",SmtRes!AC119:'SmtRes'!AC126)*Source!I80, 2))), 2)</f>
        <v>429.89</v>
      </c>
      <c r="AN334" s="50">
        <f>L317+L319+L327+L332+L333+L320</f>
        <v>1944.1000000000001</v>
      </c>
      <c r="AO334" s="50">
        <f>L319</f>
        <v>14.100000000000001</v>
      </c>
      <c r="AQ334" t="s">
        <v>846</v>
      </c>
      <c r="AR334" s="50">
        <f>L317</f>
        <v>547.94000000000005</v>
      </c>
      <c r="AT334" s="50">
        <f>L320</f>
        <v>5.8599999999999994</v>
      </c>
      <c r="AV334" t="s">
        <v>846</v>
      </c>
      <c r="AW334" s="50">
        <f>L327</f>
        <v>573.19000000000005</v>
      </c>
      <c r="AZ334">
        <f>Source!X80</f>
        <v>520.57000000000005</v>
      </c>
      <c r="BA334">
        <f>Source!Y80</f>
        <v>282.44</v>
      </c>
      <c r="CD334">
        <v>1</v>
      </c>
    </row>
    <row r="335" spans="1:83" ht="28.5" x14ac:dyDescent="0.2">
      <c r="A335" s="35" t="s">
        <v>184</v>
      </c>
      <c r="B335" s="37" t="s">
        <v>875</v>
      </c>
      <c r="C335" s="37" t="str">
        <f>Source!G81</f>
        <v>Погрузка грунта вручную в автомобили-самосвалы с выгрузкой</v>
      </c>
      <c r="D335" s="38" t="str">
        <f>Source!H81</f>
        <v>100 м3</v>
      </c>
      <c r="E335" s="39">
        <f>Source!K81</f>
        <v>0.04</v>
      </c>
      <c r="F335" s="39"/>
      <c r="G335" s="39">
        <f>Source!I81</f>
        <v>0.04</v>
      </c>
      <c r="H335" s="41"/>
      <c r="I335" s="40"/>
      <c r="J335" s="41"/>
      <c r="K335" s="40"/>
      <c r="L335" s="41"/>
    </row>
    <row r="336" spans="1:83" x14ac:dyDescent="0.2">
      <c r="C336" s="58" t="str">
        <f>"Объем: "&amp;Source!I81&amp;"=4/"&amp;"100"</f>
        <v>Объем: 0,04=4/100</v>
      </c>
    </row>
    <row r="337" spans="1:83" ht="15" x14ac:dyDescent="0.2">
      <c r="A337" s="36"/>
      <c r="B337" s="39">
        <v>1</v>
      </c>
      <c r="C337" s="36" t="s">
        <v>835</v>
      </c>
      <c r="D337" s="38" t="s">
        <v>509</v>
      </c>
      <c r="E337" s="43"/>
      <c r="F337" s="39"/>
      <c r="G337" s="43">
        <f>Source!U81</f>
        <v>3.32</v>
      </c>
      <c r="H337" s="39"/>
      <c r="I337" s="39"/>
      <c r="J337" s="39"/>
      <c r="K337" s="39"/>
      <c r="L337" s="44">
        <f>SUM(L338:L338)-SUMIF(CE338:CE338, 1, L338:L338)</f>
        <v>1237.26</v>
      </c>
    </row>
    <row r="338" spans="1:83" ht="14.25" x14ac:dyDescent="0.2">
      <c r="A338" s="37"/>
      <c r="B338" s="37" t="s">
        <v>644</v>
      </c>
      <c r="C338" s="37" t="s">
        <v>645</v>
      </c>
      <c r="D338" s="38" t="s">
        <v>509</v>
      </c>
      <c r="E338" s="39">
        <v>83</v>
      </c>
      <c r="F338" s="39"/>
      <c r="G338" s="39">
        <f>SmtRes!CX127</f>
        <v>3.32</v>
      </c>
      <c r="H338" s="41"/>
      <c r="I338" s="40"/>
      <c r="J338" s="41">
        <f>SmtRes!CZ127</f>
        <v>372.67</v>
      </c>
      <c r="K338" s="40"/>
      <c r="L338" s="41">
        <f>SmtRes!DI127</f>
        <v>1237.26</v>
      </c>
    </row>
    <row r="339" spans="1:83" ht="15" x14ac:dyDescent="0.2">
      <c r="A339" s="36"/>
      <c r="B339" s="39">
        <v>2</v>
      </c>
      <c r="C339" s="36" t="s">
        <v>836</v>
      </c>
      <c r="D339" s="38"/>
      <c r="E339" s="43"/>
      <c r="F339" s="39"/>
      <c r="G339" s="43"/>
      <c r="H339" s="39"/>
      <c r="I339" s="39"/>
      <c r="J339" s="39"/>
      <c r="K339" s="39"/>
      <c r="L339" s="44">
        <f>SUM(L340:L342)-SUMIF(CE340:CE342, 1, L340:L342)</f>
        <v>1354.7699999999998</v>
      </c>
    </row>
    <row r="340" spans="1:83" ht="15" x14ac:dyDescent="0.2">
      <c r="A340" s="36"/>
      <c r="B340" s="39"/>
      <c r="C340" s="36" t="s">
        <v>839</v>
      </c>
      <c r="D340" s="38" t="s">
        <v>509</v>
      </c>
      <c r="E340" s="43"/>
      <c r="F340" s="39"/>
      <c r="G340" s="43">
        <f>Source!V81</f>
        <v>1.68</v>
      </c>
      <c r="H340" s="39"/>
      <c r="I340" s="39"/>
      <c r="J340" s="39"/>
      <c r="K340" s="39"/>
      <c r="L340" s="44">
        <f>SUMIF(CE341:CE342, 1, L341:L342)</f>
        <v>824.12</v>
      </c>
      <c r="CE340">
        <v>1</v>
      </c>
    </row>
    <row r="341" spans="1:83" ht="28.5" x14ac:dyDescent="0.2">
      <c r="A341" s="37"/>
      <c r="B341" s="37" t="s">
        <v>646</v>
      </c>
      <c r="C341" s="37" t="s">
        <v>648</v>
      </c>
      <c r="D341" s="38" t="s">
        <v>515</v>
      </c>
      <c r="E341" s="39">
        <v>42</v>
      </c>
      <c r="F341" s="39"/>
      <c r="G341" s="39">
        <f>SmtRes!CX129</f>
        <v>1.68</v>
      </c>
      <c r="H341" s="41">
        <f>SmtRes!CZ129</f>
        <v>610.91999999999996</v>
      </c>
      <c r="I341" s="40">
        <f>SmtRes!AJ129</f>
        <v>1.32</v>
      </c>
      <c r="J341" s="41">
        <f>ROUND(H341*I341, 2)</f>
        <v>806.41</v>
      </c>
      <c r="K341" s="40"/>
      <c r="L341" s="41">
        <f>SmtRes!DG129</f>
        <v>1354.77</v>
      </c>
    </row>
    <row r="342" spans="1:83" ht="14.25" x14ac:dyDescent="0.2">
      <c r="A342" s="37"/>
      <c r="B342" s="37" t="s">
        <v>523</v>
      </c>
      <c r="C342" s="45" t="s">
        <v>838</v>
      </c>
      <c r="D342" s="46" t="s">
        <v>509</v>
      </c>
      <c r="E342" s="47">
        <f>SmtRes!DO129*SmtRes!AT129</f>
        <v>42</v>
      </c>
      <c r="F342" s="47"/>
      <c r="G342" s="47">
        <f>SmtRes!DO129*SmtRes!CX129</f>
        <v>1.68</v>
      </c>
      <c r="H342" s="48"/>
      <c r="I342" s="49"/>
      <c r="J342" s="48">
        <f>ROUND(SmtRes!AG129/SmtRes!DO129, 2)</f>
        <v>490.55</v>
      </c>
      <c r="K342" s="49"/>
      <c r="L342" s="48">
        <f>SmtRes!DH129</f>
        <v>824.12</v>
      </c>
      <c r="CE342">
        <v>1</v>
      </c>
    </row>
    <row r="343" spans="1:83" ht="15" x14ac:dyDescent="0.2">
      <c r="A343" s="37"/>
      <c r="B343" s="37"/>
      <c r="C343" s="51" t="s">
        <v>841</v>
      </c>
      <c r="D343" s="38"/>
      <c r="E343" s="39"/>
      <c r="F343" s="39"/>
      <c r="G343" s="39"/>
      <c r="H343" s="41"/>
      <c r="I343" s="40"/>
      <c r="J343" s="41"/>
      <c r="K343" s="40"/>
      <c r="L343" s="41">
        <f>L337+L339+L340</f>
        <v>3416.1499999999996</v>
      </c>
    </row>
    <row r="344" spans="1:83" ht="14.25" x14ac:dyDescent="0.2">
      <c r="A344" s="37"/>
      <c r="B344" s="37"/>
      <c r="C344" s="37" t="s">
        <v>842</v>
      </c>
      <c r="D344" s="38"/>
      <c r="E344" s="39"/>
      <c r="F344" s="39"/>
      <c r="G344" s="39"/>
      <c r="H344" s="41"/>
      <c r="I344" s="40"/>
      <c r="J344" s="41"/>
      <c r="K344" s="40"/>
      <c r="L344" s="41">
        <f>SUM(AR335:AR347)+SUM(AS335:AS347)+SUM(AT335:AT347)+SUM(AU335:AU347)+SUM(AV335:AV347)</f>
        <v>2061.38</v>
      </c>
    </row>
    <row r="345" spans="1:83" ht="28.5" x14ac:dyDescent="0.2">
      <c r="A345" s="37"/>
      <c r="B345" s="37" t="s">
        <v>191</v>
      </c>
      <c r="C345" s="37" t="s">
        <v>876</v>
      </c>
      <c r="D345" s="38" t="s">
        <v>669</v>
      </c>
      <c r="E345" s="39">
        <f>Source!BZ81</f>
        <v>87</v>
      </c>
      <c r="F345" s="39"/>
      <c r="G345" s="39">
        <f>Source!AT81</f>
        <v>87</v>
      </c>
      <c r="H345" s="41"/>
      <c r="I345" s="40"/>
      <c r="J345" s="41"/>
      <c r="K345" s="40"/>
      <c r="L345" s="41">
        <f>SUM(AZ335:AZ347)</f>
        <v>1793.4</v>
      </c>
    </row>
    <row r="346" spans="1:83" ht="28.5" x14ac:dyDescent="0.2">
      <c r="A346" s="45"/>
      <c r="B346" s="45" t="s">
        <v>192</v>
      </c>
      <c r="C346" s="45" t="s">
        <v>877</v>
      </c>
      <c r="D346" s="46" t="s">
        <v>669</v>
      </c>
      <c r="E346" s="47">
        <f>Source!CA81</f>
        <v>40</v>
      </c>
      <c r="F346" s="47"/>
      <c r="G346" s="47">
        <f>Source!AU81</f>
        <v>40</v>
      </c>
      <c r="H346" s="48"/>
      <c r="I346" s="49"/>
      <c r="J346" s="48"/>
      <c r="K346" s="49"/>
      <c r="L346" s="48">
        <f>SUM(BA335:BA347)</f>
        <v>824.55</v>
      </c>
    </row>
    <row r="347" spans="1:83" ht="15" x14ac:dyDescent="0.2">
      <c r="C347" s="112" t="s">
        <v>845</v>
      </c>
      <c r="D347" s="112"/>
      <c r="E347" s="112"/>
      <c r="F347" s="112"/>
      <c r="G347" s="112"/>
      <c r="H347" s="112"/>
      <c r="I347" s="113">
        <f>K347/E335</f>
        <v>150852.5</v>
      </c>
      <c r="J347" s="113"/>
      <c r="K347" s="113">
        <f>L337+L339+L345+L346+L340</f>
        <v>6034.1</v>
      </c>
      <c r="L347" s="113"/>
      <c r="AD347">
        <f>ROUND((Source!AT81/100)*((ROUND(SUMIF(SmtRes!AQ127:'SmtRes'!AQ129,"=1",SmtRes!AD127:'SmtRes'!AD129)*Source!I81, 2)+ROUND(SUMIF(SmtRes!AQ127:'SmtRes'!AQ129,"=1",SmtRes!AC127:'SmtRes'!AC129)*Source!I81, 2))), 2)</f>
        <v>30.04</v>
      </c>
      <c r="AE347">
        <f>ROUND((Source!AU81/100)*((ROUND(SUMIF(SmtRes!AQ127:'SmtRes'!AQ129,"=1",SmtRes!AD127:'SmtRes'!AD129)*Source!I81, 2)+ROUND(SUMIF(SmtRes!AQ127:'SmtRes'!AQ129,"=1",SmtRes!AC127:'SmtRes'!AC129)*Source!I81, 2))), 2)</f>
        <v>13.81</v>
      </c>
      <c r="AN347" s="50">
        <f>L337+L339+L345+L346+L340</f>
        <v>6034.1</v>
      </c>
      <c r="AO347" s="50">
        <f>L339</f>
        <v>1354.7699999999998</v>
      </c>
      <c r="AQ347" t="s">
        <v>846</v>
      </c>
      <c r="AR347" s="50">
        <f>L337</f>
        <v>1237.26</v>
      </c>
      <c r="AT347" s="50">
        <f>L340</f>
        <v>824.12</v>
      </c>
      <c r="AV347" t="s">
        <v>846</v>
      </c>
      <c r="AW347">
        <f>0</f>
        <v>0</v>
      </c>
      <c r="AZ347">
        <f>Source!X81</f>
        <v>1793.4</v>
      </c>
      <c r="BA347">
        <f>Source!Y81</f>
        <v>824.55</v>
      </c>
      <c r="CD347">
        <v>1</v>
      </c>
    </row>
    <row r="348" spans="1:83" ht="99.75" hidden="1" x14ac:dyDescent="0.2">
      <c r="A348" s="54" t="s">
        <v>194</v>
      </c>
      <c r="B348" s="45" t="s">
        <v>195</v>
      </c>
      <c r="C348" s="45" t="str">
        <f>Source!G82</f>
        <v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v>
      </c>
      <c r="D348" s="46" t="str">
        <f>Source!H82</f>
        <v>1т груза</v>
      </c>
      <c r="E348" s="47">
        <f>Source!K82</f>
        <v>7</v>
      </c>
      <c r="F348" s="47"/>
      <c r="G348" s="47">
        <f>Source!I82</f>
        <v>7</v>
      </c>
      <c r="H348" s="48"/>
      <c r="I348" s="49"/>
      <c r="J348" s="48"/>
      <c r="K348" s="49"/>
      <c r="L348" s="48"/>
    </row>
    <row r="349" spans="1:83" ht="15" hidden="1" x14ac:dyDescent="0.2">
      <c r="C349" s="112" t="s">
        <v>845</v>
      </c>
      <c r="D349" s="112"/>
      <c r="E349" s="112"/>
      <c r="F349" s="112"/>
      <c r="G349" s="112"/>
      <c r="H349" s="112"/>
      <c r="I349" s="113">
        <f>K349/E348</f>
        <v>0</v>
      </c>
      <c r="J349" s="113"/>
      <c r="K349" s="113">
        <f>L348</f>
        <v>0</v>
      </c>
      <c r="L349" s="113"/>
      <c r="AD349">
        <f>ROUND((Source!AT82/100)*((ROUND(0*Source!I82, 2)+ROUND(0*Source!I82, 2))), 2)</f>
        <v>0</v>
      </c>
      <c r="AE349">
        <f>ROUND((Source!AU82/100)*((ROUND(0*Source!I82, 2)+ROUND(0*Source!I82, 2))), 2)</f>
        <v>0</v>
      </c>
      <c r="AN349" s="50">
        <f>L348</f>
        <v>0</v>
      </c>
      <c r="AO349">
        <f>0</f>
        <v>0</v>
      </c>
      <c r="AQ349" t="s">
        <v>846</v>
      </c>
      <c r="AR349">
        <f>0</f>
        <v>0</v>
      </c>
      <c r="AT349">
        <f>0</f>
        <v>0</v>
      </c>
      <c r="AV349" t="s">
        <v>846</v>
      </c>
      <c r="AW349">
        <f>0</f>
        <v>0</v>
      </c>
      <c r="AZ349">
        <f>Source!X82</f>
        <v>0</v>
      </c>
      <c r="BA349">
        <f>Source!Y82</f>
        <v>0</v>
      </c>
      <c r="CD349">
        <v>1</v>
      </c>
    </row>
    <row r="350" spans="1:83" ht="28.5" x14ac:dyDescent="0.2">
      <c r="A350" s="35" t="s">
        <v>204</v>
      </c>
      <c r="B350" s="37" t="s">
        <v>878</v>
      </c>
      <c r="C350" s="37" t="str">
        <f>Source!G83</f>
        <v>Очистка помещений от строительного мусора</v>
      </c>
      <c r="D350" s="38" t="str">
        <f>Source!H83</f>
        <v>100 т</v>
      </c>
      <c r="E350" s="39">
        <f>Source!K83</f>
        <v>3.7999999999999999E-2</v>
      </c>
      <c r="F350" s="39"/>
      <c r="G350" s="39">
        <f>Source!I83</f>
        <v>3.7999999999999999E-2</v>
      </c>
      <c r="H350" s="41"/>
      <c r="I350" s="40"/>
      <c r="J350" s="41"/>
      <c r="K350" s="40"/>
      <c r="L350" s="41"/>
    </row>
    <row r="351" spans="1:83" x14ac:dyDescent="0.2">
      <c r="C351" s="58" t="str">
        <f>"Объем: "&amp;Source!I83&amp;"=3,8/"&amp;"100"</f>
        <v>Объем: 0,038=3,8/100</v>
      </c>
    </row>
    <row r="352" spans="1:83" ht="15" x14ac:dyDescent="0.2">
      <c r="A352" s="36"/>
      <c r="B352" s="39">
        <v>1</v>
      </c>
      <c r="C352" s="36" t="s">
        <v>835</v>
      </c>
      <c r="D352" s="38" t="s">
        <v>509</v>
      </c>
      <c r="E352" s="43"/>
      <c r="F352" s="39"/>
      <c r="G352" s="43">
        <f>Source!U83</f>
        <v>7.1440000000000001</v>
      </c>
      <c r="H352" s="39"/>
      <c r="I352" s="39"/>
      <c r="J352" s="39"/>
      <c r="K352" s="39"/>
      <c r="L352" s="44">
        <f>SUM(L353:L353)-SUMIF(CE353:CE353, 1, L353:L353)</f>
        <v>2638.78</v>
      </c>
    </row>
    <row r="353" spans="1:83" ht="14.25" x14ac:dyDescent="0.2">
      <c r="A353" s="37"/>
      <c r="B353" s="37" t="s">
        <v>649</v>
      </c>
      <c r="C353" s="37" t="s">
        <v>650</v>
      </c>
      <c r="D353" s="38" t="s">
        <v>509</v>
      </c>
      <c r="E353" s="39">
        <v>188</v>
      </c>
      <c r="F353" s="39"/>
      <c r="G353" s="39">
        <f>SmtRes!CX130</f>
        <v>7.1440000000000001</v>
      </c>
      <c r="H353" s="41"/>
      <c r="I353" s="40"/>
      <c r="J353" s="41">
        <f>SmtRes!CZ130</f>
        <v>369.37</v>
      </c>
      <c r="K353" s="40"/>
      <c r="L353" s="41">
        <f>SmtRes!DI130</f>
        <v>2638.78</v>
      </c>
    </row>
    <row r="354" spans="1:83" ht="15" x14ac:dyDescent="0.2">
      <c r="A354" s="36"/>
      <c r="B354" s="39">
        <v>4</v>
      </c>
      <c r="C354" s="55" t="s">
        <v>840</v>
      </c>
      <c r="D354" s="46"/>
      <c r="E354" s="56"/>
      <c r="F354" s="47"/>
      <c r="G354" s="56"/>
      <c r="H354" s="47"/>
      <c r="I354" s="47"/>
      <c r="J354" s="47"/>
      <c r="K354" s="47"/>
      <c r="L354" s="57">
        <f>0</f>
        <v>0</v>
      </c>
    </row>
    <row r="355" spans="1:83" ht="15" x14ac:dyDescent="0.2">
      <c r="A355" s="37"/>
      <c r="B355" s="37"/>
      <c r="C355" s="51" t="s">
        <v>841</v>
      </c>
      <c r="D355" s="38"/>
      <c r="E355" s="39"/>
      <c r="F355" s="39"/>
      <c r="G355" s="39"/>
      <c r="H355" s="41"/>
      <c r="I355" s="40"/>
      <c r="J355" s="41"/>
      <c r="K355" s="40"/>
      <c r="L355" s="41">
        <f>L352+L354</f>
        <v>2638.78</v>
      </c>
    </row>
    <row r="356" spans="1:83" ht="14.25" x14ac:dyDescent="0.2">
      <c r="A356" s="37"/>
      <c r="B356" s="37"/>
      <c r="C356" s="37" t="s">
        <v>842</v>
      </c>
      <c r="D356" s="38"/>
      <c r="E356" s="39"/>
      <c r="F356" s="39"/>
      <c r="G356" s="39"/>
      <c r="H356" s="41"/>
      <c r="I356" s="40"/>
      <c r="J356" s="41"/>
      <c r="K356" s="40"/>
      <c r="L356" s="41">
        <f>SUM(AR350:AR359)+SUM(AS350:AS359)+SUM(AT350:AT359)+SUM(AU350:AU359)+SUM(AV350:AV359)</f>
        <v>2638.78</v>
      </c>
    </row>
    <row r="357" spans="1:83" ht="14.25" x14ac:dyDescent="0.2">
      <c r="A357" s="37"/>
      <c r="B357" s="37" t="s">
        <v>211</v>
      </c>
      <c r="C357" s="37" t="s">
        <v>879</v>
      </c>
      <c r="D357" s="38" t="s">
        <v>669</v>
      </c>
      <c r="E357" s="39">
        <f>Source!BZ83</f>
        <v>92</v>
      </c>
      <c r="F357" s="39"/>
      <c r="G357" s="39">
        <f>Source!AT83</f>
        <v>92</v>
      </c>
      <c r="H357" s="41"/>
      <c r="I357" s="40"/>
      <c r="J357" s="41"/>
      <c r="K357" s="40"/>
      <c r="L357" s="41">
        <f>SUM(AZ350:AZ359)</f>
        <v>2427.6799999999998</v>
      </c>
    </row>
    <row r="358" spans="1:83" ht="14.25" x14ac:dyDescent="0.2">
      <c r="A358" s="45"/>
      <c r="B358" s="45" t="s">
        <v>212</v>
      </c>
      <c r="C358" s="45" t="s">
        <v>880</v>
      </c>
      <c r="D358" s="46" t="s">
        <v>669</v>
      </c>
      <c r="E358" s="47">
        <f>Source!CA83</f>
        <v>44</v>
      </c>
      <c r="F358" s="47"/>
      <c r="G358" s="47">
        <f>Source!AU83</f>
        <v>44</v>
      </c>
      <c r="H358" s="48"/>
      <c r="I358" s="49"/>
      <c r="J358" s="48"/>
      <c r="K358" s="49"/>
      <c r="L358" s="48">
        <f>SUM(BA350:BA359)</f>
        <v>1161.06</v>
      </c>
    </row>
    <row r="359" spans="1:83" ht="15" x14ac:dyDescent="0.2">
      <c r="C359" s="112" t="s">
        <v>845</v>
      </c>
      <c r="D359" s="112"/>
      <c r="E359" s="112"/>
      <c r="F359" s="112"/>
      <c r="G359" s="112"/>
      <c r="H359" s="112"/>
      <c r="I359" s="113">
        <f>K359/E350</f>
        <v>163882.10526315792</v>
      </c>
      <c r="J359" s="113"/>
      <c r="K359" s="113">
        <f>L352+L354+L357+L358</f>
        <v>6227.52</v>
      </c>
      <c r="L359" s="113"/>
      <c r="AD359">
        <f>ROUND((Source!AT83/100)*((ROUND(SUMIF(SmtRes!AQ130:'SmtRes'!AQ131,"=1",SmtRes!AD130:'SmtRes'!AD131)*Source!I83, 2)+ROUND(SUMIF(SmtRes!AQ130:'SmtRes'!AQ131,"=1",SmtRes!AC130:'SmtRes'!AC131)*Source!I83, 2))), 2)</f>
        <v>12.92</v>
      </c>
      <c r="AE359">
        <f>ROUND((Source!AU83/100)*((ROUND(SUMIF(SmtRes!AQ130:'SmtRes'!AQ131,"=1",SmtRes!AD130:'SmtRes'!AD131)*Source!I83, 2)+ROUND(SUMIF(SmtRes!AQ130:'SmtRes'!AQ131,"=1",SmtRes!AC130:'SmtRes'!AC131)*Source!I83, 2))), 2)</f>
        <v>6.18</v>
      </c>
      <c r="AN359" s="50">
        <f>L352+L354+L357+L358</f>
        <v>6227.52</v>
      </c>
      <c r="AO359">
        <f>0</f>
        <v>0</v>
      </c>
      <c r="AQ359" t="s">
        <v>846</v>
      </c>
      <c r="AR359" s="50">
        <f>L352</f>
        <v>2638.78</v>
      </c>
      <c r="AT359">
        <f>0</f>
        <v>0</v>
      </c>
      <c r="AV359" t="s">
        <v>846</v>
      </c>
      <c r="AW359" s="50">
        <f>L354</f>
        <v>0</v>
      </c>
      <c r="AZ359">
        <f>Source!X83</f>
        <v>2427.6799999999998</v>
      </c>
      <c r="BA359">
        <f>Source!Y83</f>
        <v>1161.06</v>
      </c>
      <c r="CD359">
        <v>1</v>
      </c>
    </row>
    <row r="360" spans="1:83" ht="28.5" x14ac:dyDescent="0.2">
      <c r="A360" s="35" t="s">
        <v>213</v>
      </c>
      <c r="B360" s="37" t="s">
        <v>875</v>
      </c>
      <c r="C360" s="37" t="str">
        <f>Source!G84</f>
        <v>Погрузка строительного мусора вручную в автомобили-самосвалы с выгрузкой</v>
      </c>
      <c r="D360" s="38" t="str">
        <f>Source!H84</f>
        <v>100 м3</v>
      </c>
      <c r="E360" s="39">
        <f>Source!K84</f>
        <v>3.7999999999999999E-2</v>
      </c>
      <c r="F360" s="39"/>
      <c r="G360" s="39">
        <f>Source!I84</f>
        <v>3.7999999999999999E-2</v>
      </c>
      <c r="H360" s="41"/>
      <c r="I360" s="40"/>
      <c r="J360" s="41"/>
      <c r="K360" s="40"/>
      <c r="L360" s="41"/>
    </row>
    <row r="361" spans="1:83" x14ac:dyDescent="0.2">
      <c r="C361" s="58" t="str">
        <f>"Объем: "&amp;Source!I84&amp;"=3,8/"&amp;"100"</f>
        <v>Объем: 0,038=3,8/100</v>
      </c>
    </row>
    <row r="362" spans="1:83" ht="15" x14ac:dyDescent="0.2">
      <c r="A362" s="36"/>
      <c r="B362" s="39">
        <v>1</v>
      </c>
      <c r="C362" s="36" t="s">
        <v>835</v>
      </c>
      <c r="D362" s="38" t="s">
        <v>509</v>
      </c>
      <c r="E362" s="43"/>
      <c r="F362" s="39"/>
      <c r="G362" s="43">
        <f>Source!U84</f>
        <v>3.1539999999999999</v>
      </c>
      <c r="H362" s="39"/>
      <c r="I362" s="39"/>
      <c r="J362" s="39"/>
      <c r="K362" s="39"/>
      <c r="L362" s="44">
        <f>SUM(L363:L363)-SUMIF(CE363:CE363, 1, L363:L363)</f>
        <v>1175.4000000000001</v>
      </c>
    </row>
    <row r="363" spans="1:83" ht="14.25" x14ac:dyDescent="0.2">
      <c r="A363" s="37"/>
      <c r="B363" s="37" t="s">
        <v>644</v>
      </c>
      <c r="C363" s="37" t="s">
        <v>645</v>
      </c>
      <c r="D363" s="38" t="s">
        <v>509</v>
      </c>
      <c r="E363" s="39">
        <v>83</v>
      </c>
      <c r="F363" s="39"/>
      <c r="G363" s="39">
        <f>SmtRes!CX132</f>
        <v>3.1539999999999999</v>
      </c>
      <c r="H363" s="41"/>
      <c r="I363" s="40"/>
      <c r="J363" s="41">
        <f>SmtRes!CZ132</f>
        <v>372.67</v>
      </c>
      <c r="K363" s="40"/>
      <c r="L363" s="41">
        <f>SmtRes!DI132</f>
        <v>1175.4000000000001</v>
      </c>
    </row>
    <row r="364" spans="1:83" ht="15" x14ac:dyDescent="0.2">
      <c r="A364" s="36"/>
      <c r="B364" s="39">
        <v>2</v>
      </c>
      <c r="C364" s="36" t="s">
        <v>836</v>
      </c>
      <c r="D364" s="38"/>
      <c r="E364" s="43"/>
      <c r="F364" s="39"/>
      <c r="G364" s="43"/>
      <c r="H364" s="39"/>
      <c r="I364" s="39"/>
      <c r="J364" s="39"/>
      <c r="K364" s="39"/>
      <c r="L364" s="44">
        <f>SUM(L365:L367)-SUMIF(CE365:CE367, 1, L365:L367)</f>
        <v>1287.03</v>
      </c>
    </row>
    <row r="365" spans="1:83" ht="15" x14ac:dyDescent="0.2">
      <c r="A365" s="36"/>
      <c r="B365" s="39"/>
      <c r="C365" s="36" t="s">
        <v>839</v>
      </c>
      <c r="D365" s="38" t="s">
        <v>509</v>
      </c>
      <c r="E365" s="43"/>
      <c r="F365" s="39"/>
      <c r="G365" s="43">
        <f>Source!V84</f>
        <v>1.5960000000000001</v>
      </c>
      <c r="H365" s="39"/>
      <c r="I365" s="39"/>
      <c r="J365" s="39"/>
      <c r="K365" s="39"/>
      <c r="L365" s="44">
        <f>SUMIF(CE366:CE367, 1, L366:L367)</f>
        <v>782.92</v>
      </c>
      <c r="CE365">
        <v>1</v>
      </c>
    </row>
    <row r="366" spans="1:83" ht="28.5" x14ac:dyDescent="0.2">
      <c r="A366" s="37"/>
      <c r="B366" s="37" t="s">
        <v>646</v>
      </c>
      <c r="C366" s="37" t="s">
        <v>648</v>
      </c>
      <c r="D366" s="38" t="s">
        <v>515</v>
      </c>
      <c r="E366" s="39">
        <v>42</v>
      </c>
      <c r="F366" s="39"/>
      <c r="G366" s="39">
        <f>SmtRes!CX134</f>
        <v>1.5960000000000001</v>
      </c>
      <c r="H366" s="41">
        <f>SmtRes!CZ134</f>
        <v>610.91999999999996</v>
      </c>
      <c r="I366" s="40">
        <f>SmtRes!AJ134</f>
        <v>1.32</v>
      </c>
      <c r="J366" s="41">
        <f>ROUND(H366*I366, 2)</f>
        <v>806.41</v>
      </c>
      <c r="K366" s="40"/>
      <c r="L366" s="41">
        <f>SmtRes!DG134</f>
        <v>1287.03</v>
      </c>
    </row>
    <row r="367" spans="1:83" ht="14.25" x14ac:dyDescent="0.2">
      <c r="A367" s="37"/>
      <c r="B367" s="37" t="s">
        <v>523</v>
      </c>
      <c r="C367" s="45" t="s">
        <v>838</v>
      </c>
      <c r="D367" s="46" t="s">
        <v>509</v>
      </c>
      <c r="E367" s="47">
        <f>SmtRes!DO134*SmtRes!AT134</f>
        <v>42</v>
      </c>
      <c r="F367" s="47"/>
      <c r="G367" s="47">
        <f>SmtRes!DO134*SmtRes!CX134</f>
        <v>1.5960000000000001</v>
      </c>
      <c r="H367" s="48"/>
      <c r="I367" s="49"/>
      <c r="J367" s="48">
        <f>ROUND(SmtRes!AG134/SmtRes!DO134, 2)</f>
        <v>490.55</v>
      </c>
      <c r="K367" s="49"/>
      <c r="L367" s="48">
        <f>SmtRes!DH134</f>
        <v>782.92</v>
      </c>
      <c r="CE367">
        <v>1</v>
      </c>
    </row>
    <row r="368" spans="1:83" ht="15" x14ac:dyDescent="0.2">
      <c r="A368" s="37"/>
      <c r="B368" s="37"/>
      <c r="C368" s="51" t="s">
        <v>841</v>
      </c>
      <c r="D368" s="38"/>
      <c r="E368" s="39"/>
      <c r="F368" s="39"/>
      <c r="G368" s="39"/>
      <c r="H368" s="41"/>
      <c r="I368" s="40"/>
      <c r="J368" s="41"/>
      <c r="K368" s="40"/>
      <c r="L368" s="41">
        <f>L362+L364+L365</f>
        <v>3245.3500000000004</v>
      </c>
    </row>
    <row r="369" spans="1:82" ht="14.25" x14ac:dyDescent="0.2">
      <c r="A369" s="37"/>
      <c r="B369" s="37"/>
      <c r="C369" s="37" t="s">
        <v>842</v>
      </c>
      <c r="D369" s="38"/>
      <c r="E369" s="39"/>
      <c r="F369" s="39"/>
      <c r="G369" s="39"/>
      <c r="H369" s="41"/>
      <c r="I369" s="40"/>
      <c r="J369" s="41"/>
      <c r="K369" s="40"/>
      <c r="L369" s="41">
        <f>SUM(AR360:AR372)+SUM(AS360:AS372)+SUM(AT360:AT372)+SUM(AU360:AU372)+SUM(AV360:AV372)</f>
        <v>1958.3200000000002</v>
      </c>
    </row>
    <row r="370" spans="1:82" ht="28.5" x14ac:dyDescent="0.2">
      <c r="A370" s="37"/>
      <c r="B370" s="37" t="s">
        <v>191</v>
      </c>
      <c r="C370" s="37" t="s">
        <v>876</v>
      </c>
      <c r="D370" s="38" t="s">
        <v>669</v>
      </c>
      <c r="E370" s="39">
        <f>Source!BZ84</f>
        <v>87</v>
      </c>
      <c r="F370" s="39"/>
      <c r="G370" s="39">
        <f>Source!AT84</f>
        <v>87</v>
      </c>
      <c r="H370" s="41"/>
      <c r="I370" s="40"/>
      <c r="J370" s="41"/>
      <c r="K370" s="40"/>
      <c r="L370" s="41">
        <f>SUM(AZ360:AZ372)</f>
        <v>1703.74</v>
      </c>
    </row>
    <row r="371" spans="1:82" ht="28.5" x14ac:dyDescent="0.2">
      <c r="A371" s="45"/>
      <c r="B371" s="45" t="s">
        <v>192</v>
      </c>
      <c r="C371" s="45" t="s">
        <v>877</v>
      </c>
      <c r="D371" s="46" t="s">
        <v>669</v>
      </c>
      <c r="E371" s="47">
        <f>Source!CA84</f>
        <v>40</v>
      </c>
      <c r="F371" s="47"/>
      <c r="G371" s="47">
        <f>Source!AU84</f>
        <v>40</v>
      </c>
      <c r="H371" s="48"/>
      <c r="I371" s="49"/>
      <c r="J371" s="48"/>
      <c r="K371" s="49"/>
      <c r="L371" s="48">
        <f>SUM(BA360:BA372)</f>
        <v>783.33</v>
      </c>
    </row>
    <row r="372" spans="1:82" ht="15" x14ac:dyDescent="0.2">
      <c r="C372" s="112" t="s">
        <v>845</v>
      </c>
      <c r="D372" s="112"/>
      <c r="E372" s="112"/>
      <c r="F372" s="112"/>
      <c r="G372" s="112"/>
      <c r="H372" s="112"/>
      <c r="I372" s="113">
        <f>K372/E360</f>
        <v>150853.15789473685</v>
      </c>
      <c r="J372" s="113"/>
      <c r="K372" s="113">
        <f>L362+L364+L370+L371+L365</f>
        <v>5732.42</v>
      </c>
      <c r="L372" s="113"/>
      <c r="AD372">
        <f>ROUND((Source!AT84/100)*((ROUND(SUMIF(SmtRes!AQ132:'SmtRes'!AQ134,"=1",SmtRes!AD132:'SmtRes'!AD134)*Source!I84, 2)+ROUND(SUMIF(SmtRes!AQ132:'SmtRes'!AQ134,"=1",SmtRes!AC132:'SmtRes'!AC134)*Source!I84, 2))), 2)</f>
        <v>28.54</v>
      </c>
      <c r="AE372">
        <f>ROUND((Source!AU84/100)*((ROUND(SUMIF(SmtRes!AQ132:'SmtRes'!AQ134,"=1",SmtRes!AD132:'SmtRes'!AD134)*Source!I84, 2)+ROUND(SUMIF(SmtRes!AQ132:'SmtRes'!AQ134,"=1",SmtRes!AC132:'SmtRes'!AC134)*Source!I84, 2))), 2)</f>
        <v>13.12</v>
      </c>
      <c r="AN372" s="50">
        <f>L362+L364+L370+L371+L365</f>
        <v>5732.42</v>
      </c>
      <c r="AO372" s="50">
        <f>L364</f>
        <v>1287.03</v>
      </c>
      <c r="AQ372" t="s">
        <v>846</v>
      </c>
      <c r="AR372" s="50">
        <f>L362</f>
        <v>1175.4000000000001</v>
      </c>
      <c r="AT372" s="50">
        <f>L365</f>
        <v>782.92</v>
      </c>
      <c r="AV372" t="s">
        <v>846</v>
      </c>
      <c r="AW372">
        <f>0</f>
        <v>0</v>
      </c>
      <c r="AZ372">
        <f>Source!X84</f>
        <v>1703.74</v>
      </c>
      <c r="BA372">
        <f>Source!Y84</f>
        <v>783.33</v>
      </c>
      <c r="CD372">
        <v>1</v>
      </c>
    </row>
    <row r="373" spans="1:82" ht="99.75" hidden="1" x14ac:dyDescent="0.2">
      <c r="A373" s="54" t="s">
        <v>215</v>
      </c>
      <c r="B373" s="45" t="s">
        <v>195</v>
      </c>
      <c r="C373" s="45" t="str">
        <f>Source!G85</f>
        <v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v>
      </c>
      <c r="D373" s="46" t="str">
        <f>Source!H85</f>
        <v>1т груза</v>
      </c>
      <c r="E373" s="47">
        <f>Source!K85</f>
        <v>3.8</v>
      </c>
      <c r="F373" s="47"/>
      <c r="G373" s="47">
        <f>Source!I85</f>
        <v>3.8</v>
      </c>
      <c r="H373" s="48"/>
      <c r="I373" s="49"/>
      <c r="J373" s="48"/>
      <c r="K373" s="49"/>
      <c r="L373" s="48"/>
    </row>
    <row r="374" spans="1:82" ht="15" hidden="1" x14ac:dyDescent="0.2">
      <c r="C374" s="112" t="s">
        <v>845</v>
      </c>
      <c r="D374" s="112"/>
      <c r="E374" s="112"/>
      <c r="F374" s="112"/>
      <c r="G374" s="112"/>
      <c r="H374" s="112"/>
      <c r="I374" s="113">
        <f>K374/E373</f>
        <v>0</v>
      </c>
      <c r="J374" s="113"/>
      <c r="K374" s="113">
        <f>L373</f>
        <v>0</v>
      </c>
      <c r="L374" s="113"/>
      <c r="AD374">
        <f>ROUND((Source!AT85/100)*((ROUND(0*Source!I85, 2)+ROUND(0*Source!I85, 2))), 2)</f>
        <v>0</v>
      </c>
      <c r="AE374">
        <f>ROUND((Source!AU85/100)*((ROUND(0*Source!I85, 2)+ROUND(0*Source!I85, 2))), 2)</f>
        <v>0</v>
      </c>
      <c r="AN374" s="50">
        <f>L373</f>
        <v>0</v>
      </c>
      <c r="AO374">
        <f>0</f>
        <v>0</v>
      </c>
      <c r="AQ374" t="s">
        <v>846</v>
      </c>
      <c r="AR374">
        <f>0</f>
        <v>0</v>
      </c>
      <c r="AT374">
        <f>0</f>
        <v>0</v>
      </c>
      <c r="AV374" t="s">
        <v>846</v>
      </c>
      <c r="AW374">
        <f>0</f>
        <v>0</v>
      </c>
      <c r="AZ374">
        <f>Source!X85</f>
        <v>0</v>
      </c>
      <c r="BA374">
        <f>Source!Y85</f>
        <v>0</v>
      </c>
      <c r="CD374">
        <v>1</v>
      </c>
    </row>
    <row r="376" spans="1:82" ht="15" x14ac:dyDescent="0.2">
      <c r="A376" s="59"/>
      <c r="B376" s="60"/>
      <c r="C376" s="117" t="s">
        <v>881</v>
      </c>
      <c r="D376" s="117"/>
      <c r="E376" s="117"/>
      <c r="F376" s="117"/>
      <c r="G376" s="117"/>
      <c r="H376" s="117"/>
      <c r="I376" s="44"/>
      <c r="J376" s="59"/>
      <c r="K376" s="61"/>
      <c r="L376" s="44">
        <f>L378+L379+L385+L389</f>
        <v>111926.38</v>
      </c>
    </row>
    <row r="377" spans="1:82" ht="14.25" x14ac:dyDescent="0.2">
      <c r="A377" s="52"/>
      <c r="B377" s="58"/>
      <c r="C377" s="116" t="s">
        <v>882</v>
      </c>
      <c r="D377" s="115"/>
      <c r="E377" s="115"/>
      <c r="F377" s="115"/>
      <c r="G377" s="115"/>
      <c r="H377" s="115"/>
      <c r="I377" s="41"/>
      <c r="J377" s="52"/>
      <c r="K377" s="39"/>
      <c r="L377" s="41"/>
    </row>
    <row r="378" spans="1:82" ht="14.25" x14ac:dyDescent="0.2">
      <c r="A378" s="52"/>
      <c r="B378" s="58"/>
      <c r="C378" s="115" t="s">
        <v>883</v>
      </c>
      <c r="D378" s="115"/>
      <c r="E378" s="115"/>
      <c r="F378" s="115"/>
      <c r="G378" s="115"/>
      <c r="H378" s="115"/>
      <c r="I378" s="41"/>
      <c r="J378" s="52"/>
      <c r="K378" s="39"/>
      <c r="L378" s="41">
        <f>SUM(AR54:AR374)</f>
        <v>37665.22</v>
      </c>
    </row>
    <row r="379" spans="1:82" ht="14.25" hidden="1" x14ac:dyDescent="0.2">
      <c r="A379" s="52"/>
      <c r="B379" s="58"/>
      <c r="C379" s="115" t="s">
        <v>884</v>
      </c>
      <c r="D379" s="115"/>
      <c r="E379" s="115"/>
      <c r="F379" s="115"/>
      <c r="G379" s="115"/>
      <c r="H379" s="115"/>
      <c r="I379" s="41"/>
      <c r="J379" s="52"/>
      <c r="K379" s="39"/>
      <c r="L379" s="41">
        <f>L381+L384+L383</f>
        <v>14304.84</v>
      </c>
    </row>
    <row r="380" spans="1:82" ht="14.25" hidden="1" x14ac:dyDescent="0.2">
      <c r="A380" s="52"/>
      <c r="B380" s="58"/>
      <c r="C380" s="116" t="s">
        <v>885</v>
      </c>
      <c r="D380" s="115"/>
      <c r="E380" s="115"/>
      <c r="F380" s="115"/>
      <c r="G380" s="115"/>
      <c r="H380" s="115"/>
      <c r="I380" s="41"/>
      <c r="J380" s="52"/>
      <c r="K380" s="39"/>
      <c r="L380" s="41"/>
    </row>
    <row r="381" spans="1:82" ht="14.25" x14ac:dyDescent="0.2">
      <c r="A381" s="52"/>
      <c r="B381" s="58"/>
      <c r="C381" s="115" t="s">
        <v>884</v>
      </c>
      <c r="D381" s="115"/>
      <c r="E381" s="115"/>
      <c r="F381" s="115"/>
      <c r="G381" s="115"/>
      <c r="H381" s="115"/>
      <c r="I381" s="41"/>
      <c r="J381" s="52"/>
      <c r="K381" s="39"/>
      <c r="L381" s="41">
        <f>SUM(AO54:AO374)</f>
        <v>10085.27</v>
      </c>
    </row>
    <row r="382" spans="1:82" ht="14.25" hidden="1" x14ac:dyDescent="0.2">
      <c r="A382" s="52"/>
      <c r="B382" s="58"/>
      <c r="C382" s="116" t="s">
        <v>886</v>
      </c>
      <c r="D382" s="115"/>
      <c r="E382" s="115"/>
      <c r="F382" s="115"/>
      <c r="G382" s="115"/>
      <c r="H382" s="115"/>
      <c r="I382" s="41"/>
      <c r="J382" s="52"/>
      <c r="K382" s="39"/>
      <c r="L382" s="41"/>
    </row>
    <row r="383" spans="1:82" ht="14.25" x14ac:dyDescent="0.2">
      <c r="A383" s="52"/>
      <c r="B383" s="58"/>
      <c r="C383" s="115" t="s">
        <v>906</v>
      </c>
      <c r="D383" s="115"/>
      <c r="E383" s="115"/>
      <c r="F383" s="115"/>
      <c r="G383" s="115"/>
      <c r="H383" s="115"/>
      <c r="I383" s="41"/>
      <c r="J383" s="52"/>
      <c r="K383" s="39"/>
      <c r="L383" s="41">
        <f>SUM(AT54:AT374)</f>
        <v>4219.57</v>
      </c>
    </row>
    <row r="384" spans="1:82" ht="14.25" hidden="1" x14ac:dyDescent="0.2">
      <c r="A384" s="52"/>
      <c r="B384" s="58"/>
      <c r="C384" s="115" t="s">
        <v>887</v>
      </c>
      <c r="D384" s="115"/>
      <c r="E384" s="115"/>
      <c r="F384" s="115"/>
      <c r="G384" s="115"/>
      <c r="H384" s="115"/>
      <c r="I384" s="41"/>
      <c r="J384" s="52"/>
      <c r="K384" s="39"/>
      <c r="L384" s="41">
        <f>SUM(AV54:AV374)</f>
        <v>0</v>
      </c>
    </row>
    <row r="385" spans="1:12" ht="14.25" x14ac:dyDescent="0.2">
      <c r="A385" s="52"/>
      <c r="B385" s="58"/>
      <c r="C385" s="115" t="s">
        <v>888</v>
      </c>
      <c r="D385" s="115"/>
      <c r="E385" s="115"/>
      <c r="F385" s="115"/>
      <c r="G385" s="115"/>
      <c r="H385" s="115"/>
      <c r="I385" s="41"/>
      <c r="J385" s="52"/>
      <c r="K385" s="39"/>
      <c r="L385" s="41">
        <f>L387+L388</f>
        <v>59956.320000000007</v>
      </c>
    </row>
    <row r="386" spans="1:12" ht="14.25" x14ac:dyDescent="0.2">
      <c r="A386" s="52"/>
      <c r="B386" s="58"/>
      <c r="C386" s="116" t="s">
        <v>885</v>
      </c>
      <c r="D386" s="115"/>
      <c r="E386" s="115"/>
      <c r="F386" s="115"/>
      <c r="G386" s="115"/>
      <c r="H386" s="115"/>
      <c r="I386" s="41"/>
      <c r="J386" s="52"/>
      <c r="K386" s="39"/>
      <c r="L386" s="41"/>
    </row>
    <row r="387" spans="1:12" ht="14.25" x14ac:dyDescent="0.2">
      <c r="A387" s="52"/>
      <c r="B387" s="58"/>
      <c r="C387" s="115" t="s">
        <v>889</v>
      </c>
      <c r="D387" s="115"/>
      <c r="E387" s="115"/>
      <c r="F387" s="115"/>
      <c r="G387" s="115"/>
      <c r="H387" s="115"/>
      <c r="I387" s="41"/>
      <c r="J387" s="52"/>
      <c r="K387" s="39"/>
      <c r="L387" s="41">
        <f>SUM(AW54:AW374)-SUM(BK54:BK374)</f>
        <v>59956.320000000007</v>
      </c>
    </row>
    <row r="388" spans="1:12" ht="14.25" hidden="1" x14ac:dyDescent="0.2">
      <c r="A388" s="52"/>
      <c r="B388" s="58"/>
      <c r="C388" s="115" t="s">
        <v>890</v>
      </c>
      <c r="D388" s="115"/>
      <c r="E388" s="115"/>
      <c r="F388" s="115"/>
      <c r="G388" s="115"/>
      <c r="H388" s="115"/>
      <c r="I388" s="41"/>
      <c r="J388" s="52"/>
      <c r="K388" s="39"/>
      <c r="L388" s="41">
        <f>SUM(BC54:BC374)</f>
        <v>0</v>
      </c>
    </row>
    <row r="389" spans="1:12" ht="14.25" hidden="1" x14ac:dyDescent="0.2">
      <c r="A389" s="52"/>
      <c r="B389" s="58"/>
      <c r="C389" s="115" t="s">
        <v>891</v>
      </c>
      <c r="D389" s="115"/>
      <c r="E389" s="115"/>
      <c r="F389" s="115"/>
      <c r="G389" s="115"/>
      <c r="H389" s="115"/>
      <c r="I389" s="41"/>
      <c r="J389" s="52"/>
      <c r="K389" s="39"/>
      <c r="L389" s="41">
        <f>SUM(BB54:BB374)</f>
        <v>0</v>
      </c>
    </row>
    <row r="390" spans="1:12" ht="14.25" x14ac:dyDescent="0.2">
      <c r="A390" s="52"/>
      <c r="B390" s="58"/>
      <c r="C390" s="115" t="s">
        <v>892</v>
      </c>
      <c r="D390" s="115"/>
      <c r="E390" s="115"/>
      <c r="F390" s="115"/>
      <c r="G390" s="115"/>
      <c r="H390" s="115"/>
      <c r="I390" s="41"/>
      <c r="J390" s="52"/>
      <c r="K390" s="39"/>
      <c r="L390" s="41">
        <f>SUM(AR54:AR374)+SUM(AT54:AT374)+SUM(AV54:AV374)</f>
        <v>41884.79</v>
      </c>
    </row>
    <row r="391" spans="1:12" ht="14.25" x14ac:dyDescent="0.2">
      <c r="A391" s="52"/>
      <c r="B391" s="58"/>
      <c r="C391" s="115" t="s">
        <v>893</v>
      </c>
      <c r="D391" s="115"/>
      <c r="E391" s="115"/>
      <c r="F391" s="115"/>
      <c r="G391" s="115"/>
      <c r="H391" s="115"/>
      <c r="I391" s="41"/>
      <c r="J391" s="52"/>
      <c r="K391" s="39"/>
      <c r="L391" s="41">
        <f>SUM(AZ54:AZ374)</f>
        <v>43200.289999999986</v>
      </c>
    </row>
    <row r="392" spans="1:12" ht="14.25" x14ac:dyDescent="0.2">
      <c r="A392" s="52"/>
      <c r="B392" s="58"/>
      <c r="C392" s="115" t="s">
        <v>894</v>
      </c>
      <c r="D392" s="115"/>
      <c r="E392" s="115"/>
      <c r="F392" s="115"/>
      <c r="G392" s="115"/>
      <c r="H392" s="115"/>
      <c r="I392" s="41"/>
      <c r="J392" s="52"/>
      <c r="K392" s="39"/>
      <c r="L392" s="41">
        <f>SUM(BA54:BA374)</f>
        <v>26120.500000000004</v>
      </c>
    </row>
    <row r="393" spans="1:12" ht="14.25" hidden="1" x14ac:dyDescent="0.2">
      <c r="A393" s="52"/>
      <c r="B393" s="58"/>
      <c r="C393" s="115" t="s">
        <v>895</v>
      </c>
      <c r="D393" s="115"/>
      <c r="E393" s="115"/>
      <c r="F393" s="115"/>
      <c r="G393" s="115"/>
      <c r="H393" s="115"/>
      <c r="I393" s="41"/>
      <c r="J393" s="52"/>
      <c r="K393" s="39"/>
      <c r="L393" s="41">
        <f>L395+L396</f>
        <v>0</v>
      </c>
    </row>
    <row r="394" spans="1:12" ht="14.25" hidden="1" x14ac:dyDescent="0.2">
      <c r="A394" s="52"/>
      <c r="B394" s="58"/>
      <c r="C394" s="116" t="s">
        <v>882</v>
      </c>
      <c r="D394" s="115"/>
      <c r="E394" s="115"/>
      <c r="F394" s="115"/>
      <c r="G394" s="115"/>
      <c r="H394" s="115"/>
      <c r="I394" s="41"/>
      <c r="J394" s="52"/>
      <c r="K394" s="39"/>
      <c r="L394" s="41"/>
    </row>
    <row r="395" spans="1:12" ht="14.25" hidden="1" x14ac:dyDescent="0.2">
      <c r="A395" s="52"/>
      <c r="B395" s="58"/>
      <c r="C395" s="115" t="s">
        <v>896</v>
      </c>
      <c r="D395" s="115"/>
      <c r="E395" s="115"/>
      <c r="F395" s="115"/>
      <c r="G395" s="115"/>
      <c r="H395" s="115"/>
      <c r="I395" s="41"/>
      <c r="J395" s="52"/>
      <c r="K395" s="39"/>
      <c r="L395" s="41">
        <f>SUM(BK54:BK374)</f>
        <v>0</v>
      </c>
    </row>
    <row r="396" spans="1:12" ht="14.25" hidden="1" x14ac:dyDescent="0.2">
      <c r="A396" s="52"/>
      <c r="B396" s="58"/>
      <c r="C396" s="115" t="s">
        <v>897</v>
      </c>
      <c r="D396" s="115"/>
      <c r="E396" s="115"/>
      <c r="F396" s="115"/>
      <c r="G396" s="115"/>
      <c r="H396" s="115"/>
      <c r="I396" s="41"/>
      <c r="J396" s="52"/>
      <c r="K396" s="39"/>
      <c r="L396" s="41">
        <f>SUM(BD54:BD374)</f>
        <v>0</v>
      </c>
    </row>
    <row r="397" spans="1:12" ht="14.25" hidden="1" x14ac:dyDescent="0.2">
      <c r="A397" s="52"/>
      <c r="B397" s="58"/>
      <c r="C397" s="115" t="s">
        <v>898</v>
      </c>
      <c r="D397" s="115"/>
      <c r="E397" s="115"/>
      <c r="F397" s="115"/>
      <c r="G397" s="115"/>
      <c r="H397" s="115"/>
      <c r="I397" s="41"/>
      <c r="J397" s="52"/>
      <c r="K397" s="39"/>
      <c r="L397" s="41"/>
    </row>
    <row r="398" spans="1:12" ht="14.25" hidden="1" x14ac:dyDescent="0.2">
      <c r="A398" s="52"/>
      <c r="B398" s="58"/>
      <c r="C398" s="115" t="s">
        <v>899</v>
      </c>
      <c r="D398" s="115"/>
      <c r="E398" s="115"/>
      <c r="F398" s="115"/>
      <c r="G398" s="115"/>
      <c r="H398" s="115"/>
      <c r="I398" s="41"/>
      <c r="J398" s="52"/>
      <c r="K398" s="39"/>
      <c r="L398" s="41">
        <f>SUM(BO54:BO374)</f>
        <v>0</v>
      </c>
    </row>
    <row r="399" spans="1:12" ht="15" x14ac:dyDescent="0.2">
      <c r="A399" s="59"/>
      <c r="B399" s="60"/>
      <c r="C399" s="117" t="s">
        <v>900</v>
      </c>
      <c r="D399" s="117"/>
      <c r="E399" s="117"/>
      <c r="F399" s="117"/>
      <c r="G399" s="117"/>
      <c r="H399" s="117"/>
      <c r="I399" s="44"/>
      <c r="J399" s="59"/>
      <c r="K399" s="61"/>
      <c r="L399" s="44">
        <f>L376+L391+L392+L393+L397+L398</f>
        <v>181247.16999999998</v>
      </c>
    </row>
    <row r="400" spans="1:12" ht="14.25" x14ac:dyDescent="0.2">
      <c r="A400" s="52"/>
      <c r="B400" s="58"/>
      <c r="C400" s="116" t="s">
        <v>901</v>
      </c>
      <c r="D400" s="115"/>
      <c r="E400" s="115"/>
      <c r="F400" s="115"/>
      <c r="G400" s="115"/>
      <c r="H400" s="115"/>
      <c r="I400" s="41"/>
      <c r="J400" s="52"/>
      <c r="K400" s="39"/>
      <c r="L400" s="41"/>
    </row>
    <row r="401" spans="1:83" ht="14.25" hidden="1" x14ac:dyDescent="0.2">
      <c r="A401" s="52"/>
      <c r="B401" s="58"/>
      <c r="C401" s="115" t="s">
        <v>902</v>
      </c>
      <c r="D401" s="115"/>
      <c r="E401" s="115"/>
      <c r="F401" s="115"/>
      <c r="G401" s="115"/>
      <c r="H401" s="115"/>
      <c r="I401" s="41"/>
      <c r="J401" s="52"/>
      <c r="K401" s="39"/>
      <c r="L401" s="41">
        <f>SUM(AX54:AX374)</f>
        <v>0</v>
      </c>
    </row>
    <row r="402" spans="1:83" ht="14.25" hidden="1" x14ac:dyDescent="0.2">
      <c r="A402" s="52"/>
      <c r="B402" s="58"/>
      <c r="C402" s="115" t="s">
        <v>903</v>
      </c>
      <c r="D402" s="115"/>
      <c r="E402" s="115"/>
      <c r="F402" s="115"/>
      <c r="G402" s="115"/>
      <c r="H402" s="115"/>
      <c r="I402" s="41"/>
      <c r="J402" s="52"/>
      <c r="K402" s="39"/>
      <c r="L402" s="41">
        <f>SUM(AY54:AY374)</f>
        <v>0</v>
      </c>
    </row>
    <row r="403" spans="1:83" ht="14.25" x14ac:dyDescent="0.2">
      <c r="A403" s="52"/>
      <c r="B403" s="58"/>
      <c r="C403" s="115" t="s">
        <v>904</v>
      </c>
      <c r="D403" s="115"/>
      <c r="E403" s="115"/>
      <c r="F403" s="118"/>
      <c r="G403" s="43">
        <f>Source!F109</f>
        <v>83.959238400000004</v>
      </c>
      <c r="H403" s="52"/>
      <c r="I403" s="52"/>
      <c r="J403" s="52"/>
      <c r="K403" s="52"/>
      <c r="L403" s="52"/>
    </row>
    <row r="404" spans="1:83" ht="14.25" x14ac:dyDescent="0.2">
      <c r="A404" s="52"/>
      <c r="B404" s="58"/>
      <c r="C404" s="115" t="s">
        <v>905</v>
      </c>
      <c r="D404" s="115"/>
      <c r="E404" s="115"/>
      <c r="F404" s="118"/>
      <c r="G404" s="43">
        <f>Source!F110</f>
        <v>7.5584420000000003</v>
      </c>
      <c r="H404" s="52"/>
      <c r="I404" s="52"/>
      <c r="J404" s="52"/>
      <c r="K404" s="52"/>
      <c r="L404" s="52"/>
    </row>
    <row r="407" spans="1:83" ht="16.5" x14ac:dyDescent="0.2">
      <c r="A407" s="114" t="s">
        <v>907</v>
      </c>
      <c r="B407" s="114"/>
      <c r="C407" s="114"/>
      <c r="D407" s="114"/>
      <c r="E407" s="114"/>
      <c r="F407" s="114"/>
      <c r="G407" s="114"/>
      <c r="H407" s="114"/>
      <c r="I407" s="114"/>
      <c r="J407" s="114"/>
      <c r="K407" s="114"/>
      <c r="L407" s="114"/>
    </row>
    <row r="408" spans="1:83" ht="42.75" x14ac:dyDescent="0.2">
      <c r="A408" s="35" t="s">
        <v>217</v>
      </c>
      <c r="B408" s="37" t="s">
        <v>908</v>
      </c>
      <c r="C408" s="37" t="str">
        <f>Source!G121</f>
        <v>Демонтаж: Подстанция комплектная трансформаторная напряжением до 10 кВ до 400 кВ·А</v>
      </c>
      <c r="D408" s="38" t="str">
        <f>Source!H121</f>
        <v>ШТ</v>
      </c>
      <c r="E408" s="39">
        <f>Source!K121</f>
        <v>1</v>
      </c>
      <c r="F408" s="39"/>
      <c r="G408" s="39">
        <f>Source!I121</f>
        <v>1</v>
      </c>
      <c r="H408" s="41"/>
      <c r="I408" s="40"/>
      <c r="J408" s="41"/>
      <c r="K408" s="40"/>
      <c r="L408" s="41"/>
    </row>
    <row r="409" spans="1:83" ht="25.5" x14ac:dyDescent="0.2">
      <c r="B409" s="42" t="s">
        <v>784</v>
      </c>
      <c r="C409" s="110" t="s">
        <v>909</v>
      </c>
      <c r="D409" s="110"/>
      <c r="E409" s="110"/>
      <c r="F409" s="110"/>
      <c r="G409" s="110"/>
      <c r="H409" s="110"/>
      <c r="I409" s="110"/>
      <c r="J409" s="110"/>
      <c r="K409" s="110"/>
      <c r="L409" s="110"/>
    </row>
    <row r="410" spans="1:83" ht="15" x14ac:dyDescent="0.2">
      <c r="A410" s="36"/>
      <c r="B410" s="39">
        <v>1</v>
      </c>
      <c r="C410" s="36" t="s">
        <v>835</v>
      </c>
      <c r="D410" s="38" t="s">
        <v>509</v>
      </c>
      <c r="E410" s="43"/>
      <c r="F410" s="39"/>
      <c r="G410" s="43">
        <f>Source!U121</f>
        <v>8.34</v>
      </c>
      <c r="H410" s="39"/>
      <c r="I410" s="39"/>
      <c r="J410" s="39"/>
      <c r="K410" s="39"/>
      <c r="L410" s="44">
        <f>SUM(L411:L411)-SUMIF(CE411:CE411, 1, L411:L411)</f>
        <v>4091.19</v>
      </c>
    </row>
    <row r="411" spans="1:83" ht="14.25" x14ac:dyDescent="0.2">
      <c r="A411" s="37"/>
      <c r="B411" s="37" t="s">
        <v>653</v>
      </c>
      <c r="C411" s="37" t="s">
        <v>654</v>
      </c>
      <c r="D411" s="38" t="s">
        <v>509</v>
      </c>
      <c r="E411" s="39">
        <v>27.8</v>
      </c>
      <c r="F411" s="39">
        <f>ROUND(0.3,7)</f>
        <v>0.3</v>
      </c>
      <c r="G411" s="39">
        <f>SmtRes!CX135</f>
        <v>8.34</v>
      </c>
      <c r="H411" s="41"/>
      <c r="I411" s="40"/>
      <c r="J411" s="41">
        <f>SmtRes!CZ135</f>
        <v>490.55</v>
      </c>
      <c r="K411" s="40"/>
      <c r="L411" s="41">
        <f>SmtRes!DI135</f>
        <v>4091.19</v>
      </c>
    </row>
    <row r="412" spans="1:83" ht="15" x14ac:dyDescent="0.2">
      <c r="A412" s="36"/>
      <c r="B412" s="39">
        <v>2</v>
      </c>
      <c r="C412" s="36" t="s">
        <v>836</v>
      </c>
      <c r="D412" s="38"/>
      <c r="E412" s="43"/>
      <c r="F412" s="39"/>
      <c r="G412" s="43"/>
      <c r="H412" s="39"/>
      <c r="I412" s="39"/>
      <c r="J412" s="39"/>
      <c r="K412" s="39"/>
      <c r="L412" s="44">
        <f>SUM(L413:L418)-SUMIF(CE413:CE418, 1, L413:L418)</f>
        <v>3244.94</v>
      </c>
    </row>
    <row r="413" spans="1:83" ht="15" x14ac:dyDescent="0.2">
      <c r="A413" s="36"/>
      <c r="B413" s="39"/>
      <c r="C413" s="36" t="s">
        <v>839</v>
      </c>
      <c r="D413" s="38" t="s">
        <v>509</v>
      </c>
      <c r="E413" s="43"/>
      <c r="F413" s="39"/>
      <c r="G413" s="43">
        <f>Source!V121</f>
        <v>2.2800000000000002</v>
      </c>
      <c r="H413" s="39"/>
      <c r="I413" s="39"/>
      <c r="J413" s="39"/>
      <c r="K413" s="39"/>
      <c r="L413" s="44">
        <f>SUMIF(CE414:CE418, 1, L414:L418)</f>
        <v>1449.34</v>
      </c>
      <c r="CE413">
        <v>1</v>
      </c>
    </row>
    <row r="414" spans="1:83" ht="28.5" x14ac:dyDescent="0.2">
      <c r="A414" s="37"/>
      <c r="B414" s="37" t="s">
        <v>512</v>
      </c>
      <c r="C414" s="37" t="s">
        <v>514</v>
      </c>
      <c r="D414" s="38" t="s">
        <v>515</v>
      </c>
      <c r="E414" s="39">
        <v>6.55</v>
      </c>
      <c r="F414" s="39">
        <f>ROUND(0.3,7)</f>
        <v>0.3</v>
      </c>
      <c r="G414" s="39">
        <f>SmtRes!CX137</f>
        <v>1.9650000000000001</v>
      </c>
      <c r="H414" s="41"/>
      <c r="I414" s="40"/>
      <c r="J414" s="41">
        <f>SmtRes!CZ137</f>
        <v>1551.19</v>
      </c>
      <c r="K414" s="40"/>
      <c r="L414" s="41">
        <f>SmtRes!DG137</f>
        <v>3048.09</v>
      </c>
    </row>
    <row r="415" spans="1:83" ht="14.25" x14ac:dyDescent="0.2">
      <c r="A415" s="37"/>
      <c r="B415" s="37" t="s">
        <v>516</v>
      </c>
      <c r="C415" s="37" t="s">
        <v>837</v>
      </c>
      <c r="D415" s="38" t="s">
        <v>509</v>
      </c>
      <c r="E415" s="39">
        <f>SmtRes!DO137*SmtRes!AT137</f>
        <v>6.55</v>
      </c>
      <c r="F415" s="39">
        <f>ROUND(0.3,7)</f>
        <v>0.3</v>
      </c>
      <c r="G415" s="39">
        <f>SmtRes!DO137*SmtRes!CX137</f>
        <v>1.9650000000000001</v>
      </c>
      <c r="H415" s="41"/>
      <c r="I415" s="40"/>
      <c r="J415" s="41">
        <f>ROUND(SmtRes!AG137/SmtRes!DO137, 2)</f>
        <v>658.94</v>
      </c>
      <c r="K415" s="40"/>
      <c r="L415" s="41">
        <f>SmtRes!DH137</f>
        <v>1294.82</v>
      </c>
      <c r="CE415">
        <v>1</v>
      </c>
    </row>
    <row r="416" spans="1:83" ht="14.25" x14ac:dyDescent="0.2">
      <c r="A416" s="37"/>
      <c r="B416" s="37" t="s">
        <v>520</v>
      </c>
      <c r="C416" s="37" t="s">
        <v>522</v>
      </c>
      <c r="D416" s="38" t="s">
        <v>515</v>
      </c>
      <c r="E416" s="39">
        <v>1.05</v>
      </c>
      <c r="F416" s="39">
        <f>ROUND(0.3,7)</f>
        <v>0.3</v>
      </c>
      <c r="G416" s="39">
        <f>SmtRes!CX138</f>
        <v>0.315</v>
      </c>
      <c r="H416" s="41">
        <f>SmtRes!CZ138</f>
        <v>477.92</v>
      </c>
      <c r="I416" s="40">
        <f>SmtRes!AJ138</f>
        <v>1.21</v>
      </c>
      <c r="J416" s="41">
        <f>ROUND(H416*I416, 2)</f>
        <v>578.28</v>
      </c>
      <c r="K416" s="40"/>
      <c r="L416" s="41">
        <f>SmtRes!DG138</f>
        <v>182.16</v>
      </c>
    </row>
    <row r="417" spans="1:83" ht="14.25" x14ac:dyDescent="0.2">
      <c r="A417" s="37"/>
      <c r="B417" s="37" t="s">
        <v>523</v>
      </c>
      <c r="C417" s="37" t="s">
        <v>838</v>
      </c>
      <c r="D417" s="38" t="s">
        <v>509</v>
      </c>
      <c r="E417" s="39">
        <f>SmtRes!DO138*SmtRes!AT138</f>
        <v>1.05</v>
      </c>
      <c r="F417" s="39">
        <f>ROUND(0.3,7)</f>
        <v>0.3</v>
      </c>
      <c r="G417" s="39">
        <f>SmtRes!DO138*SmtRes!CX138</f>
        <v>0.315</v>
      </c>
      <c r="H417" s="41"/>
      <c r="I417" s="40"/>
      <c r="J417" s="41">
        <f>ROUND(SmtRes!AG138/SmtRes!DO138, 2)</f>
        <v>490.55</v>
      </c>
      <c r="K417" s="40"/>
      <c r="L417" s="41">
        <f>SmtRes!DH138</f>
        <v>154.52000000000001</v>
      </c>
      <c r="CE417">
        <v>1</v>
      </c>
    </row>
    <row r="418" spans="1:83" ht="28.5" x14ac:dyDescent="0.2">
      <c r="A418" s="37"/>
      <c r="B418" s="37" t="s">
        <v>655</v>
      </c>
      <c r="C418" s="37" t="s">
        <v>657</v>
      </c>
      <c r="D418" s="38" t="s">
        <v>515</v>
      </c>
      <c r="E418" s="39">
        <v>1.86</v>
      </c>
      <c r="F418" s="39">
        <f>ROUND(0.3,7)</f>
        <v>0.3</v>
      </c>
      <c r="G418" s="39">
        <f>SmtRes!CX139</f>
        <v>0.55800000000000005</v>
      </c>
      <c r="H418" s="41"/>
      <c r="I418" s="40"/>
      <c r="J418" s="41">
        <f>SmtRes!CZ139</f>
        <v>26.32</v>
      </c>
      <c r="K418" s="40"/>
      <c r="L418" s="41">
        <f>SmtRes!DG139</f>
        <v>14.69</v>
      </c>
    </row>
    <row r="419" spans="1:83" ht="15" x14ac:dyDescent="0.2">
      <c r="A419" s="36"/>
      <c r="B419" s="39">
        <v>4</v>
      </c>
      <c r="C419" s="36" t="s">
        <v>840</v>
      </c>
      <c r="D419" s="38"/>
      <c r="E419" s="43"/>
      <c r="F419" s="39"/>
      <c r="G419" s="43"/>
      <c r="H419" s="39"/>
      <c r="I419" s="39"/>
      <c r="J419" s="39"/>
      <c r="K419" s="39"/>
      <c r="L419" s="44">
        <f>SUM(L420:L423)-SUMIF(CE420:CE423, 1, L420:L423)</f>
        <v>0</v>
      </c>
    </row>
    <row r="420" spans="1:83" ht="28.5" x14ac:dyDescent="0.2">
      <c r="A420" s="37"/>
      <c r="B420" s="37" t="s">
        <v>658</v>
      </c>
      <c r="C420" s="37" t="s">
        <v>660</v>
      </c>
      <c r="D420" s="38" t="s">
        <v>94</v>
      </c>
      <c r="E420" s="39">
        <v>1E-3</v>
      </c>
      <c r="F420" s="39">
        <f>ROUND(0,7)</f>
        <v>0</v>
      </c>
      <c r="G420" s="39">
        <f>SmtRes!CX140</f>
        <v>0</v>
      </c>
      <c r="H420" s="41">
        <f>SmtRes!CZ140</f>
        <v>305052.55</v>
      </c>
      <c r="I420" s="40">
        <f>SmtRes!AI140</f>
        <v>1.2</v>
      </c>
      <c r="J420" s="41">
        <f>ROUND(H420*I420, 2)</f>
        <v>366063.06</v>
      </c>
      <c r="K420" s="40"/>
      <c r="L420" s="41">
        <f>SmtRes!DF140</f>
        <v>0</v>
      </c>
    </row>
    <row r="421" spans="1:83" ht="42.75" x14ac:dyDescent="0.2">
      <c r="A421" s="37"/>
      <c r="B421" s="37" t="s">
        <v>550</v>
      </c>
      <c r="C421" s="37" t="s">
        <v>552</v>
      </c>
      <c r="D421" s="38" t="s">
        <v>549</v>
      </c>
      <c r="E421" s="39">
        <v>1.36</v>
      </c>
      <c r="F421" s="39">
        <f>ROUND(0,7)</f>
        <v>0</v>
      </c>
      <c r="G421" s="39">
        <f>SmtRes!CX141</f>
        <v>0</v>
      </c>
      <c r="H421" s="41">
        <f>SmtRes!CZ141</f>
        <v>155.63</v>
      </c>
      <c r="I421" s="40">
        <f>SmtRes!AI141</f>
        <v>0.95</v>
      </c>
      <c r="J421" s="41">
        <f>ROUND(H421*I421, 2)</f>
        <v>147.85</v>
      </c>
      <c r="K421" s="40"/>
      <c r="L421" s="41">
        <f>SmtRes!DF141</f>
        <v>0</v>
      </c>
    </row>
    <row r="422" spans="1:83" ht="28.5" x14ac:dyDescent="0.2">
      <c r="A422" s="37"/>
      <c r="B422" s="37" t="s">
        <v>661</v>
      </c>
      <c r="C422" s="37" t="s">
        <v>663</v>
      </c>
      <c r="D422" s="38" t="s">
        <v>94</v>
      </c>
      <c r="E422" s="39">
        <v>7.0000000000000001E-3</v>
      </c>
      <c r="F422" s="39">
        <f>ROUND(0,7)</f>
        <v>0</v>
      </c>
      <c r="G422" s="39">
        <f>SmtRes!CX142</f>
        <v>0</v>
      </c>
      <c r="H422" s="41">
        <f>SmtRes!CZ142</f>
        <v>70310.45</v>
      </c>
      <c r="I422" s="40">
        <f>SmtRes!AI142</f>
        <v>0.88</v>
      </c>
      <c r="J422" s="41">
        <f>ROUND(H422*I422, 2)</f>
        <v>61873.2</v>
      </c>
      <c r="K422" s="40"/>
      <c r="L422" s="41">
        <f>SmtRes!DF142</f>
        <v>0</v>
      </c>
    </row>
    <row r="423" spans="1:83" ht="14.25" x14ac:dyDescent="0.2">
      <c r="A423" s="37"/>
      <c r="B423" s="37" t="s">
        <v>664</v>
      </c>
      <c r="C423" s="45" t="s">
        <v>666</v>
      </c>
      <c r="D423" s="46" t="s">
        <v>94</v>
      </c>
      <c r="E423" s="47">
        <v>1.8000000000000001E-4</v>
      </c>
      <c r="F423" s="47">
        <f>ROUND(0,7)</f>
        <v>0</v>
      </c>
      <c r="G423" s="47">
        <f>SmtRes!CX143</f>
        <v>0</v>
      </c>
      <c r="H423" s="48">
        <f>SmtRes!CZ143</f>
        <v>254539.74</v>
      </c>
      <c r="I423" s="49">
        <f>SmtRes!AI143</f>
        <v>1.71</v>
      </c>
      <c r="J423" s="48">
        <f>ROUND(H423*I423, 2)</f>
        <v>435262.96</v>
      </c>
      <c r="K423" s="49"/>
      <c r="L423" s="48">
        <f>SmtRes!DF143</f>
        <v>0</v>
      </c>
    </row>
    <row r="424" spans="1:83" ht="15" x14ac:dyDescent="0.2">
      <c r="A424" s="37"/>
      <c r="B424" s="37"/>
      <c r="C424" s="51" t="s">
        <v>841</v>
      </c>
      <c r="D424" s="38"/>
      <c r="E424" s="39"/>
      <c r="F424" s="39"/>
      <c r="G424" s="39"/>
      <c r="H424" s="41"/>
      <c r="I424" s="40"/>
      <c r="J424" s="41"/>
      <c r="K424" s="40"/>
      <c r="L424" s="41">
        <f>L410+L412+L413+L419</f>
        <v>8785.4699999999993</v>
      </c>
    </row>
    <row r="425" spans="1:83" ht="14.25" x14ac:dyDescent="0.2">
      <c r="A425" s="37"/>
      <c r="B425" s="37"/>
      <c r="C425" s="37" t="s">
        <v>842</v>
      </c>
      <c r="D425" s="38"/>
      <c r="E425" s="39"/>
      <c r="F425" s="39"/>
      <c r="G425" s="39"/>
      <c r="H425" s="41"/>
      <c r="I425" s="40"/>
      <c r="J425" s="41"/>
      <c r="K425" s="40"/>
      <c r="L425" s="41">
        <f>SUM(AR408:AR428)+SUM(AS408:AS428)+SUM(AT408:AT428)+SUM(AU408:AU428)+SUM(AV408:AV428)</f>
        <v>5540.53</v>
      </c>
    </row>
    <row r="426" spans="1:83" ht="28.5" x14ac:dyDescent="0.2">
      <c r="A426" s="37"/>
      <c r="B426" s="37" t="s">
        <v>228</v>
      </c>
      <c r="C426" s="37" t="s">
        <v>910</v>
      </c>
      <c r="D426" s="38" t="s">
        <v>669</v>
      </c>
      <c r="E426" s="39">
        <f>Source!BZ121</f>
        <v>97</v>
      </c>
      <c r="F426" s="39"/>
      <c r="G426" s="39">
        <f>Source!AT121</f>
        <v>97</v>
      </c>
      <c r="H426" s="41"/>
      <c r="I426" s="40"/>
      <c r="J426" s="41"/>
      <c r="K426" s="40"/>
      <c r="L426" s="41">
        <f>SUM(AZ408:AZ428)</f>
        <v>5374.31</v>
      </c>
    </row>
    <row r="427" spans="1:83" ht="28.5" x14ac:dyDescent="0.2">
      <c r="A427" s="45"/>
      <c r="B427" s="45" t="s">
        <v>229</v>
      </c>
      <c r="C427" s="45" t="s">
        <v>911</v>
      </c>
      <c r="D427" s="46" t="s">
        <v>669</v>
      </c>
      <c r="E427" s="47">
        <f>Source!CA121</f>
        <v>51</v>
      </c>
      <c r="F427" s="47"/>
      <c r="G427" s="47">
        <f>Source!AU121</f>
        <v>51</v>
      </c>
      <c r="H427" s="48"/>
      <c r="I427" s="49"/>
      <c r="J427" s="48"/>
      <c r="K427" s="49"/>
      <c r="L427" s="48">
        <f>SUM(BA408:BA428)</f>
        <v>2825.67</v>
      </c>
    </row>
    <row r="428" spans="1:83" ht="15" x14ac:dyDescent="0.2">
      <c r="C428" s="112" t="s">
        <v>845</v>
      </c>
      <c r="D428" s="112"/>
      <c r="E428" s="112"/>
      <c r="F428" s="112"/>
      <c r="G428" s="112"/>
      <c r="H428" s="112"/>
      <c r="I428" s="113">
        <f>K428/E408</f>
        <v>16985.45</v>
      </c>
      <c r="J428" s="113"/>
      <c r="K428" s="113">
        <f>L410+L412+L419+L426+L427+L413</f>
        <v>16985.45</v>
      </c>
      <c r="L428" s="113"/>
      <c r="AD428">
        <f>ROUND((Source!AT121/100)*((ROUND(SUMIF(SmtRes!AQ135:'SmtRes'!AQ144,"=1",SmtRes!AD135:'SmtRes'!AD144)*Source!I121, 2)+ROUND(SUMIF(SmtRes!AQ135:'SmtRes'!AQ144,"=1",SmtRes!AC135:'SmtRes'!AC144)*Source!I121, 2))), 2)</f>
        <v>1590.84</v>
      </c>
      <c r="AE428">
        <f>ROUND((Source!AU121/100)*((ROUND(SUMIF(SmtRes!AQ135:'SmtRes'!AQ144,"=1",SmtRes!AD135:'SmtRes'!AD144)*Source!I121, 2)+ROUND(SUMIF(SmtRes!AQ135:'SmtRes'!AQ144,"=1",SmtRes!AC135:'SmtRes'!AC144)*Source!I121, 2))), 2)</f>
        <v>836.42</v>
      </c>
      <c r="AN428" s="50">
        <f>L410+L412+L419+L426+L427+L413</f>
        <v>16985.45</v>
      </c>
      <c r="AO428" s="50">
        <f>L412</f>
        <v>3244.94</v>
      </c>
      <c r="AQ428" t="s">
        <v>846</v>
      </c>
      <c r="AR428" s="50">
        <f>L410</f>
        <v>4091.19</v>
      </c>
      <c r="AT428" s="50">
        <f>L413</f>
        <v>1449.34</v>
      </c>
      <c r="AV428" t="s">
        <v>846</v>
      </c>
      <c r="AW428" s="50">
        <f>L419</f>
        <v>0</v>
      </c>
      <c r="AZ428">
        <f>Source!X121</f>
        <v>5374.31</v>
      </c>
      <c r="BA428">
        <f>Source!Y121</f>
        <v>2825.67</v>
      </c>
      <c r="CD428">
        <v>2</v>
      </c>
    </row>
    <row r="429" spans="1:83" ht="28.5" x14ac:dyDescent="0.2">
      <c r="A429" s="35" t="s">
        <v>230</v>
      </c>
      <c r="B429" s="37" t="s">
        <v>912</v>
      </c>
      <c r="C429" s="37" t="str">
        <f>Source!G122</f>
        <v>Демонтаж: Трансформатор силовой, масляный, масса: до 1 т</v>
      </c>
      <c r="D429" s="38" t="str">
        <f>Source!H122</f>
        <v>ШТ</v>
      </c>
      <c r="E429" s="39">
        <f>Source!K122</f>
        <v>1</v>
      </c>
      <c r="F429" s="39"/>
      <c r="G429" s="39">
        <f>Source!I122</f>
        <v>1</v>
      </c>
      <c r="H429" s="41"/>
      <c r="I429" s="40"/>
      <c r="J429" s="41"/>
      <c r="K429" s="40"/>
      <c r="L429" s="41"/>
    </row>
    <row r="430" spans="1:83" ht="25.5" x14ac:dyDescent="0.2">
      <c r="B430" s="42" t="s">
        <v>784</v>
      </c>
      <c r="C430" s="110" t="s">
        <v>909</v>
      </c>
      <c r="D430" s="110"/>
      <c r="E430" s="110"/>
      <c r="F430" s="110"/>
      <c r="G430" s="110"/>
      <c r="H430" s="110"/>
      <c r="I430" s="110"/>
      <c r="J430" s="110"/>
      <c r="K430" s="110"/>
      <c r="L430" s="110"/>
    </row>
    <row r="431" spans="1:83" ht="15" x14ac:dyDescent="0.2">
      <c r="A431" s="36"/>
      <c r="B431" s="39">
        <v>1</v>
      </c>
      <c r="C431" s="36" t="s">
        <v>835</v>
      </c>
      <c r="D431" s="38" t="s">
        <v>509</v>
      </c>
      <c r="E431" s="43"/>
      <c r="F431" s="39"/>
      <c r="G431" s="43">
        <f>Source!U122</f>
        <v>5.91</v>
      </c>
      <c r="H431" s="39"/>
      <c r="I431" s="39"/>
      <c r="J431" s="39"/>
      <c r="K431" s="39"/>
      <c r="L431" s="44">
        <f>SUM(L432:L432)-SUMIF(CE432:CE432, 1, L432:L432)</f>
        <v>2899.15</v>
      </c>
    </row>
    <row r="432" spans="1:83" ht="14.25" x14ac:dyDescent="0.2">
      <c r="A432" s="37"/>
      <c r="B432" s="37" t="s">
        <v>653</v>
      </c>
      <c r="C432" s="37" t="s">
        <v>654</v>
      </c>
      <c r="D432" s="38" t="s">
        <v>509</v>
      </c>
      <c r="E432" s="39">
        <v>19.7</v>
      </c>
      <c r="F432" s="39">
        <f>ROUND(0.3,7)</f>
        <v>0.3</v>
      </c>
      <c r="G432" s="39">
        <f>SmtRes!CX145</f>
        <v>5.91</v>
      </c>
      <c r="H432" s="41"/>
      <c r="I432" s="40"/>
      <c r="J432" s="41">
        <f>SmtRes!CZ145</f>
        <v>490.55</v>
      </c>
      <c r="K432" s="40"/>
      <c r="L432" s="41">
        <f>SmtRes!DI145</f>
        <v>2899.15</v>
      </c>
    </row>
    <row r="433" spans="1:83" ht="15" x14ac:dyDescent="0.2">
      <c r="A433" s="36"/>
      <c r="B433" s="39">
        <v>2</v>
      </c>
      <c r="C433" s="36" t="s">
        <v>836</v>
      </c>
      <c r="D433" s="38"/>
      <c r="E433" s="43"/>
      <c r="F433" s="39"/>
      <c r="G433" s="43"/>
      <c r="H433" s="39"/>
      <c r="I433" s="39"/>
      <c r="J433" s="39"/>
      <c r="K433" s="39"/>
      <c r="L433" s="44">
        <f>SUM(L434:L438)-SUMIF(CE434:CE438, 1, L434:L438)</f>
        <v>588.82999999999993</v>
      </c>
    </row>
    <row r="434" spans="1:83" ht="15" x14ac:dyDescent="0.2">
      <c r="A434" s="36"/>
      <c r="B434" s="39"/>
      <c r="C434" s="36" t="s">
        <v>839</v>
      </c>
      <c r="D434" s="38" t="s">
        <v>509</v>
      </c>
      <c r="E434" s="43"/>
      <c r="F434" s="39"/>
      <c r="G434" s="43">
        <f>Source!V122</f>
        <v>0.56400000000000006</v>
      </c>
      <c r="H434" s="39"/>
      <c r="I434" s="39"/>
      <c r="J434" s="39"/>
      <c r="K434" s="39"/>
      <c r="L434" s="44">
        <f>SUMIF(CE435:CE438, 1, L435:L438)</f>
        <v>322.13</v>
      </c>
      <c r="CE434">
        <v>1</v>
      </c>
    </row>
    <row r="435" spans="1:83" ht="28.5" x14ac:dyDescent="0.2">
      <c r="A435" s="37"/>
      <c r="B435" s="37" t="s">
        <v>512</v>
      </c>
      <c r="C435" s="37" t="s">
        <v>514</v>
      </c>
      <c r="D435" s="38" t="s">
        <v>515</v>
      </c>
      <c r="E435" s="39">
        <v>0.9</v>
      </c>
      <c r="F435" s="39">
        <f>ROUND(0.3,7)</f>
        <v>0.3</v>
      </c>
      <c r="G435" s="39">
        <f>SmtRes!CX147</f>
        <v>0.27</v>
      </c>
      <c r="H435" s="41"/>
      <c r="I435" s="40"/>
      <c r="J435" s="41">
        <f>SmtRes!CZ147</f>
        <v>1551.19</v>
      </c>
      <c r="K435" s="40"/>
      <c r="L435" s="41">
        <f>SmtRes!DG147</f>
        <v>418.82</v>
      </c>
    </row>
    <row r="436" spans="1:83" ht="14.25" x14ac:dyDescent="0.2">
      <c r="A436" s="37"/>
      <c r="B436" s="37" t="s">
        <v>516</v>
      </c>
      <c r="C436" s="37" t="s">
        <v>837</v>
      </c>
      <c r="D436" s="38" t="s">
        <v>509</v>
      </c>
      <c r="E436" s="39">
        <f>SmtRes!DO147*SmtRes!AT147</f>
        <v>0.9</v>
      </c>
      <c r="F436" s="39">
        <f>ROUND(0.3,7)</f>
        <v>0.3</v>
      </c>
      <c r="G436" s="39">
        <f>SmtRes!DO147*SmtRes!CX147</f>
        <v>0.27</v>
      </c>
      <c r="H436" s="41"/>
      <c r="I436" s="40"/>
      <c r="J436" s="41">
        <f>ROUND(SmtRes!AG147/SmtRes!DO147, 2)</f>
        <v>658.94</v>
      </c>
      <c r="K436" s="40"/>
      <c r="L436" s="41">
        <f>SmtRes!DH147</f>
        <v>177.91</v>
      </c>
      <c r="CE436">
        <v>1</v>
      </c>
    </row>
    <row r="437" spans="1:83" ht="14.25" x14ac:dyDescent="0.2">
      <c r="A437" s="37"/>
      <c r="B437" s="37" t="s">
        <v>520</v>
      </c>
      <c r="C437" s="37" t="s">
        <v>522</v>
      </c>
      <c r="D437" s="38" t="s">
        <v>515</v>
      </c>
      <c r="E437" s="39">
        <v>0.98</v>
      </c>
      <c r="F437" s="39">
        <f>ROUND(0.3,7)</f>
        <v>0.3</v>
      </c>
      <c r="G437" s="39">
        <f>SmtRes!CX148</f>
        <v>0.29399999999999998</v>
      </c>
      <c r="H437" s="41">
        <f>SmtRes!CZ148</f>
        <v>477.92</v>
      </c>
      <c r="I437" s="40">
        <f>SmtRes!AJ148</f>
        <v>1.21</v>
      </c>
      <c r="J437" s="41">
        <f>ROUND(H437*I437, 2)</f>
        <v>578.28</v>
      </c>
      <c r="K437" s="40"/>
      <c r="L437" s="41">
        <f>SmtRes!DG148</f>
        <v>170.01</v>
      </c>
    </row>
    <row r="438" spans="1:83" ht="14.25" x14ac:dyDescent="0.2">
      <c r="A438" s="37"/>
      <c r="B438" s="37" t="s">
        <v>523</v>
      </c>
      <c r="C438" s="37" t="s">
        <v>838</v>
      </c>
      <c r="D438" s="38" t="s">
        <v>509</v>
      </c>
      <c r="E438" s="39">
        <f>SmtRes!DO148*SmtRes!AT148</f>
        <v>0.98</v>
      </c>
      <c r="F438" s="39">
        <f>ROUND(0.3,7)</f>
        <v>0.3</v>
      </c>
      <c r="G438" s="39">
        <f>SmtRes!DO148*SmtRes!CX148</f>
        <v>0.29399999999999998</v>
      </c>
      <c r="H438" s="41"/>
      <c r="I438" s="40"/>
      <c r="J438" s="41">
        <f>ROUND(SmtRes!AG148/SmtRes!DO148, 2)</f>
        <v>490.55</v>
      </c>
      <c r="K438" s="40"/>
      <c r="L438" s="41">
        <f>SmtRes!DH148</f>
        <v>144.22</v>
      </c>
      <c r="CE438">
        <v>1</v>
      </c>
    </row>
    <row r="439" spans="1:83" ht="15" x14ac:dyDescent="0.2">
      <c r="A439" s="36"/>
      <c r="B439" s="39">
        <v>4</v>
      </c>
      <c r="C439" s="36" t="s">
        <v>840</v>
      </c>
      <c r="D439" s="38"/>
      <c r="E439" s="43"/>
      <c r="F439" s="39"/>
      <c r="G439" s="43"/>
      <c r="H439" s="39"/>
      <c r="I439" s="39"/>
      <c r="J439" s="39"/>
      <c r="K439" s="39"/>
      <c r="L439" s="44">
        <f>SUM(L440:L441)-SUMIF(CE440:CE441, 1, L440:L441)</f>
        <v>0</v>
      </c>
    </row>
    <row r="440" spans="1:83" ht="14.25" x14ac:dyDescent="0.2">
      <c r="A440" s="37"/>
      <c r="B440" s="37" t="s">
        <v>670</v>
      </c>
      <c r="C440" s="37" t="s">
        <v>672</v>
      </c>
      <c r="D440" s="38" t="s">
        <v>549</v>
      </c>
      <c r="E440" s="39">
        <v>7</v>
      </c>
      <c r="F440" s="39">
        <f>ROUND(0,7)</f>
        <v>0</v>
      </c>
      <c r="G440" s="39">
        <f>SmtRes!CX149</f>
        <v>0</v>
      </c>
      <c r="H440" s="41">
        <f>SmtRes!CZ149</f>
        <v>176.2</v>
      </c>
      <c r="I440" s="40">
        <f>SmtRes!AI149</f>
        <v>1.39</v>
      </c>
      <c r="J440" s="41">
        <f>ROUND(H440*I440, 2)</f>
        <v>244.92</v>
      </c>
      <c r="K440" s="40"/>
      <c r="L440" s="41">
        <f>SmtRes!DF149</f>
        <v>0</v>
      </c>
    </row>
    <row r="441" spans="1:83" ht="42.75" x14ac:dyDescent="0.2">
      <c r="A441" s="37"/>
      <c r="B441" s="37" t="s">
        <v>673</v>
      </c>
      <c r="C441" s="45" t="s">
        <v>675</v>
      </c>
      <c r="D441" s="46" t="s">
        <v>220</v>
      </c>
      <c r="E441" s="47">
        <v>10</v>
      </c>
      <c r="F441" s="47">
        <f>ROUND(0,7)</f>
        <v>0</v>
      </c>
      <c r="G441" s="47">
        <f>SmtRes!CX150</f>
        <v>0</v>
      </c>
      <c r="H441" s="48">
        <f>SmtRes!CZ150</f>
        <v>705.5</v>
      </c>
      <c r="I441" s="49">
        <f>SmtRes!AI150</f>
        <v>0.97</v>
      </c>
      <c r="J441" s="48">
        <f>ROUND(H441*I441, 2)</f>
        <v>684.34</v>
      </c>
      <c r="K441" s="49"/>
      <c r="L441" s="48">
        <f>SmtRes!DF150</f>
        <v>0</v>
      </c>
    </row>
    <row r="442" spans="1:83" ht="15" x14ac:dyDescent="0.2">
      <c r="A442" s="37"/>
      <c r="B442" s="37"/>
      <c r="C442" s="51" t="s">
        <v>841</v>
      </c>
      <c r="D442" s="38"/>
      <c r="E442" s="39"/>
      <c r="F442" s="39"/>
      <c r="G442" s="39"/>
      <c r="H442" s="41"/>
      <c r="I442" s="40"/>
      <c r="J442" s="41"/>
      <c r="K442" s="40"/>
      <c r="L442" s="41">
        <f>L431+L433+L434+L439</f>
        <v>3810.11</v>
      </c>
    </row>
    <row r="443" spans="1:83" ht="14.25" x14ac:dyDescent="0.2">
      <c r="A443" s="37"/>
      <c r="B443" s="37"/>
      <c r="C443" s="37" t="s">
        <v>842</v>
      </c>
      <c r="D443" s="38"/>
      <c r="E443" s="39"/>
      <c r="F443" s="39"/>
      <c r="G443" s="39"/>
      <c r="H443" s="41"/>
      <c r="I443" s="40"/>
      <c r="J443" s="41"/>
      <c r="K443" s="40"/>
      <c r="L443" s="41">
        <f>SUM(AR429:AR446)+SUM(AS429:AS446)+SUM(AT429:AT446)+SUM(AU429:AU446)+SUM(AV429:AV446)</f>
        <v>3221.28</v>
      </c>
    </row>
    <row r="444" spans="1:83" ht="28.5" x14ac:dyDescent="0.2">
      <c r="A444" s="37"/>
      <c r="B444" s="37" t="s">
        <v>228</v>
      </c>
      <c r="C444" s="37" t="s">
        <v>910</v>
      </c>
      <c r="D444" s="38" t="s">
        <v>669</v>
      </c>
      <c r="E444" s="39">
        <f>Source!BZ122</f>
        <v>97</v>
      </c>
      <c r="F444" s="39"/>
      <c r="G444" s="39">
        <f>Source!AT122</f>
        <v>97</v>
      </c>
      <c r="H444" s="41"/>
      <c r="I444" s="40"/>
      <c r="J444" s="41"/>
      <c r="K444" s="40"/>
      <c r="L444" s="41">
        <f>SUM(AZ429:AZ446)</f>
        <v>3124.64</v>
      </c>
    </row>
    <row r="445" spans="1:83" ht="28.5" x14ac:dyDescent="0.2">
      <c r="A445" s="45"/>
      <c r="B445" s="45" t="s">
        <v>229</v>
      </c>
      <c r="C445" s="45" t="s">
        <v>911</v>
      </c>
      <c r="D445" s="46" t="s">
        <v>669</v>
      </c>
      <c r="E445" s="47">
        <f>Source!CA122</f>
        <v>51</v>
      </c>
      <c r="F445" s="47"/>
      <c r="G445" s="47">
        <f>Source!AU122</f>
        <v>51</v>
      </c>
      <c r="H445" s="48"/>
      <c r="I445" s="49"/>
      <c r="J445" s="48"/>
      <c r="K445" s="49"/>
      <c r="L445" s="48">
        <f>SUM(BA429:BA446)</f>
        <v>1642.85</v>
      </c>
    </row>
    <row r="446" spans="1:83" ht="15" x14ac:dyDescent="0.2">
      <c r="C446" s="112" t="s">
        <v>845</v>
      </c>
      <c r="D446" s="112"/>
      <c r="E446" s="112"/>
      <c r="F446" s="112"/>
      <c r="G446" s="112"/>
      <c r="H446" s="112"/>
      <c r="I446" s="113">
        <f>K446/E429</f>
        <v>8577.5999999999985</v>
      </c>
      <c r="J446" s="113"/>
      <c r="K446" s="113">
        <f>L431+L433+L439+L444+L445+L434</f>
        <v>8577.5999999999985</v>
      </c>
      <c r="L446" s="113"/>
      <c r="AD446">
        <f>ROUND((Source!AT122/100)*((ROUND(SUMIF(SmtRes!AQ145:'SmtRes'!AQ151,"=1",SmtRes!AD145:'SmtRes'!AD151)*Source!I122, 2)+ROUND(SUMIF(SmtRes!AQ145:'SmtRes'!AQ151,"=1",SmtRes!AC145:'SmtRes'!AC151)*Source!I122, 2))), 2)</f>
        <v>1590.84</v>
      </c>
      <c r="AE446">
        <f>ROUND((Source!AU122/100)*((ROUND(SUMIF(SmtRes!AQ145:'SmtRes'!AQ151,"=1",SmtRes!AD145:'SmtRes'!AD151)*Source!I122, 2)+ROUND(SUMIF(SmtRes!AQ145:'SmtRes'!AQ151,"=1",SmtRes!AC145:'SmtRes'!AC151)*Source!I122, 2))), 2)</f>
        <v>836.42</v>
      </c>
      <c r="AN446" s="50">
        <f>L431+L433+L439+L444+L445+L434</f>
        <v>8577.5999999999985</v>
      </c>
      <c r="AO446" s="50">
        <f>L433</f>
        <v>588.82999999999993</v>
      </c>
      <c r="AQ446" t="s">
        <v>846</v>
      </c>
      <c r="AR446" s="50">
        <f>L431</f>
        <v>2899.15</v>
      </c>
      <c r="AT446" s="50">
        <f>L434</f>
        <v>322.13</v>
      </c>
      <c r="AV446" t="s">
        <v>846</v>
      </c>
      <c r="AW446" s="50">
        <f>L439</f>
        <v>0</v>
      </c>
      <c r="AZ446">
        <f>Source!X122</f>
        <v>3124.64</v>
      </c>
      <c r="BA446">
        <f>Source!Y122</f>
        <v>1642.85</v>
      </c>
      <c r="CD446">
        <v>2</v>
      </c>
    </row>
    <row r="447" spans="1:83" ht="28.5" x14ac:dyDescent="0.2">
      <c r="A447" s="35" t="s">
        <v>234</v>
      </c>
      <c r="B447" s="37" t="s">
        <v>913</v>
      </c>
      <c r="C447" s="37" t="str">
        <f>Source!G123</f>
        <v>Демонтаж: разъединителей: с помощью механизмов</v>
      </c>
      <c r="D447" s="38" t="str">
        <f>Source!H123</f>
        <v>КОМПЛ</v>
      </c>
      <c r="E447" s="39">
        <f>Source!K123</f>
        <v>1</v>
      </c>
      <c r="F447" s="39"/>
      <c r="G447" s="39">
        <f>Source!I123</f>
        <v>1</v>
      </c>
      <c r="H447" s="41"/>
      <c r="I447" s="40"/>
      <c r="J447" s="41"/>
      <c r="K447" s="40"/>
      <c r="L447" s="41"/>
    </row>
    <row r="448" spans="1:83" ht="25.5" x14ac:dyDescent="0.2">
      <c r="B448" s="42" t="s">
        <v>784</v>
      </c>
      <c r="C448" s="110" t="s">
        <v>909</v>
      </c>
      <c r="D448" s="110"/>
      <c r="E448" s="110"/>
      <c r="F448" s="110"/>
      <c r="G448" s="110"/>
      <c r="H448" s="110"/>
      <c r="I448" s="110"/>
      <c r="J448" s="110"/>
      <c r="K448" s="110"/>
      <c r="L448" s="110"/>
    </row>
    <row r="449" spans="1:83" ht="15" x14ac:dyDescent="0.2">
      <c r="A449" s="36"/>
      <c r="B449" s="39">
        <v>1</v>
      </c>
      <c r="C449" s="36" t="s">
        <v>835</v>
      </c>
      <c r="D449" s="38" t="s">
        <v>509</v>
      </c>
      <c r="E449" s="43"/>
      <c r="F449" s="39"/>
      <c r="G449" s="43">
        <f>Source!U123</f>
        <v>2.226</v>
      </c>
      <c r="H449" s="39"/>
      <c r="I449" s="39"/>
      <c r="J449" s="39"/>
      <c r="K449" s="39"/>
      <c r="L449" s="44">
        <f>SUM(L450:L450)-SUMIF(CE450:CE450, 1, L450:L450)</f>
        <v>1140.8499999999999</v>
      </c>
    </row>
    <row r="450" spans="1:83" ht="14.25" x14ac:dyDescent="0.2">
      <c r="A450" s="37"/>
      <c r="B450" s="37" t="s">
        <v>676</v>
      </c>
      <c r="C450" s="37" t="s">
        <v>677</v>
      </c>
      <c r="D450" s="38" t="s">
        <v>509</v>
      </c>
      <c r="E450" s="39">
        <v>7.42</v>
      </c>
      <c r="F450" s="39">
        <f>ROUND(0.3,7)</f>
        <v>0.3</v>
      </c>
      <c r="G450" s="39">
        <f>SmtRes!CX152</f>
        <v>2.226</v>
      </c>
      <c r="H450" s="41"/>
      <c r="I450" s="40"/>
      <c r="J450" s="41">
        <f>SmtRes!CZ152</f>
        <v>512.51</v>
      </c>
      <c r="K450" s="40"/>
      <c r="L450" s="41">
        <f>SmtRes!DI152</f>
        <v>1140.8499999999999</v>
      </c>
    </row>
    <row r="451" spans="1:83" ht="15" x14ac:dyDescent="0.2">
      <c r="A451" s="36"/>
      <c r="B451" s="39">
        <v>2</v>
      </c>
      <c r="C451" s="36" t="s">
        <v>836</v>
      </c>
      <c r="D451" s="38"/>
      <c r="E451" s="43"/>
      <c r="F451" s="39"/>
      <c r="G451" s="43"/>
      <c r="H451" s="39"/>
      <c r="I451" s="39"/>
      <c r="J451" s="39"/>
      <c r="K451" s="39"/>
      <c r="L451" s="44">
        <f>SUM(L452:L456)-SUMIF(CE452:CE456, 1, L452:L456)</f>
        <v>355</v>
      </c>
    </row>
    <row r="452" spans="1:83" ht="15" x14ac:dyDescent="0.2">
      <c r="A452" s="36"/>
      <c r="B452" s="39"/>
      <c r="C452" s="36" t="s">
        <v>839</v>
      </c>
      <c r="D452" s="38" t="s">
        <v>509</v>
      </c>
      <c r="E452" s="43"/>
      <c r="F452" s="39"/>
      <c r="G452" s="43">
        <f>Source!V123</f>
        <v>0.30599999999999999</v>
      </c>
      <c r="H452" s="39"/>
      <c r="I452" s="39"/>
      <c r="J452" s="39"/>
      <c r="K452" s="39"/>
      <c r="L452" s="44">
        <f>SUMIF(CE453:CE456, 1, L453:L456)</f>
        <v>180.93</v>
      </c>
      <c r="CE452">
        <v>1</v>
      </c>
    </row>
    <row r="453" spans="1:83" ht="28.5" x14ac:dyDescent="0.2">
      <c r="A453" s="37"/>
      <c r="B453" s="37" t="s">
        <v>512</v>
      </c>
      <c r="C453" s="37" t="s">
        <v>514</v>
      </c>
      <c r="D453" s="38" t="s">
        <v>515</v>
      </c>
      <c r="E453" s="39">
        <v>0.61</v>
      </c>
      <c r="F453" s="39">
        <f>ROUND(0.3,7)</f>
        <v>0.3</v>
      </c>
      <c r="G453" s="39">
        <f>SmtRes!CX154</f>
        <v>0.183</v>
      </c>
      <c r="H453" s="41"/>
      <c r="I453" s="40"/>
      <c r="J453" s="41">
        <f>SmtRes!CZ154</f>
        <v>1551.19</v>
      </c>
      <c r="K453" s="40"/>
      <c r="L453" s="41">
        <f>SmtRes!DG154</f>
        <v>283.87</v>
      </c>
    </row>
    <row r="454" spans="1:83" ht="14.25" x14ac:dyDescent="0.2">
      <c r="A454" s="37"/>
      <c r="B454" s="37" t="s">
        <v>516</v>
      </c>
      <c r="C454" s="37" t="s">
        <v>837</v>
      </c>
      <c r="D454" s="38" t="s">
        <v>509</v>
      </c>
      <c r="E454" s="39">
        <f>SmtRes!DO154*SmtRes!AT154</f>
        <v>0.61</v>
      </c>
      <c r="F454" s="39">
        <f>ROUND(0.3,7)</f>
        <v>0.3</v>
      </c>
      <c r="G454" s="39">
        <f>SmtRes!DO154*SmtRes!CX154</f>
        <v>0.183</v>
      </c>
      <c r="H454" s="41"/>
      <c r="I454" s="40"/>
      <c r="J454" s="41">
        <f>ROUND(SmtRes!AG154/SmtRes!DO154, 2)</f>
        <v>658.94</v>
      </c>
      <c r="K454" s="40"/>
      <c r="L454" s="41">
        <f>SmtRes!DH154</f>
        <v>120.59</v>
      </c>
      <c r="CE454">
        <v>1</v>
      </c>
    </row>
    <row r="455" spans="1:83" ht="14.25" x14ac:dyDescent="0.2">
      <c r="A455" s="37"/>
      <c r="B455" s="37" t="s">
        <v>520</v>
      </c>
      <c r="C455" s="37" t="s">
        <v>522</v>
      </c>
      <c r="D455" s="38" t="s">
        <v>515</v>
      </c>
      <c r="E455" s="39">
        <v>0.41</v>
      </c>
      <c r="F455" s="39">
        <f>ROUND(0.3,7)</f>
        <v>0.3</v>
      </c>
      <c r="G455" s="39">
        <f>SmtRes!CX155</f>
        <v>0.123</v>
      </c>
      <c r="H455" s="41">
        <f>SmtRes!CZ155</f>
        <v>477.92</v>
      </c>
      <c r="I455" s="40">
        <f>SmtRes!AJ155</f>
        <v>1.21</v>
      </c>
      <c r="J455" s="41">
        <f>ROUND(H455*I455, 2)</f>
        <v>578.28</v>
      </c>
      <c r="K455" s="40"/>
      <c r="L455" s="41">
        <f>SmtRes!DG155</f>
        <v>71.13</v>
      </c>
    </row>
    <row r="456" spans="1:83" ht="14.25" x14ac:dyDescent="0.2">
      <c r="A456" s="37"/>
      <c r="B456" s="37" t="s">
        <v>523</v>
      </c>
      <c r="C456" s="37" t="s">
        <v>838</v>
      </c>
      <c r="D456" s="38" t="s">
        <v>509</v>
      </c>
      <c r="E456" s="39">
        <f>SmtRes!DO155*SmtRes!AT155</f>
        <v>0.41</v>
      </c>
      <c r="F456" s="39">
        <f>ROUND(0.3,7)</f>
        <v>0.3</v>
      </c>
      <c r="G456" s="39">
        <f>SmtRes!DO155*SmtRes!CX155</f>
        <v>0.123</v>
      </c>
      <c r="H456" s="41"/>
      <c r="I456" s="40"/>
      <c r="J456" s="41">
        <f>ROUND(SmtRes!AG155/SmtRes!DO155, 2)</f>
        <v>490.55</v>
      </c>
      <c r="K456" s="40"/>
      <c r="L456" s="41">
        <f>SmtRes!DH155</f>
        <v>60.34</v>
      </c>
      <c r="CE456">
        <v>1</v>
      </c>
    </row>
    <row r="457" spans="1:83" ht="15" x14ac:dyDescent="0.2">
      <c r="A457" s="36"/>
      <c r="B457" s="39">
        <v>4</v>
      </c>
      <c r="C457" s="36" t="s">
        <v>840</v>
      </c>
      <c r="D457" s="38"/>
      <c r="E457" s="43"/>
      <c r="F457" s="39"/>
      <c r="G457" s="43"/>
      <c r="H457" s="39"/>
      <c r="I457" s="39"/>
      <c r="J457" s="39"/>
      <c r="K457" s="39"/>
      <c r="L457" s="44">
        <f>SUM(L458:L463)-SUMIF(CE458:CE463, 1, L458:L463)</f>
        <v>0</v>
      </c>
    </row>
    <row r="458" spans="1:83" ht="14.25" x14ac:dyDescent="0.2">
      <c r="A458" s="37"/>
      <c r="B458" s="37" t="s">
        <v>678</v>
      </c>
      <c r="C458" s="37" t="s">
        <v>680</v>
      </c>
      <c r="D458" s="38" t="s">
        <v>549</v>
      </c>
      <c r="E458" s="39">
        <v>0.01</v>
      </c>
      <c r="F458" s="39">
        <f t="shared" ref="F458:F463" si="6">ROUND(0,7)</f>
        <v>0</v>
      </c>
      <c r="G458" s="39">
        <f>SmtRes!CX156</f>
        <v>0</v>
      </c>
      <c r="H458" s="41">
        <f>SmtRes!CZ156</f>
        <v>238.29</v>
      </c>
      <c r="I458" s="40">
        <f>SmtRes!AI156</f>
        <v>1.77</v>
      </c>
      <c r="J458" s="41">
        <f t="shared" ref="J458:J463" si="7">ROUND(H458*I458, 2)</f>
        <v>421.77</v>
      </c>
      <c r="K458" s="40"/>
      <c r="L458" s="41">
        <f>SmtRes!DF156</f>
        <v>0</v>
      </c>
    </row>
    <row r="459" spans="1:83" ht="14.25" x14ac:dyDescent="0.2">
      <c r="A459" s="37"/>
      <c r="B459" s="37" t="s">
        <v>681</v>
      </c>
      <c r="C459" s="37" t="s">
        <v>683</v>
      </c>
      <c r="D459" s="38" t="s">
        <v>549</v>
      </c>
      <c r="E459" s="39">
        <v>0.03</v>
      </c>
      <c r="F459" s="39">
        <f t="shared" si="6"/>
        <v>0</v>
      </c>
      <c r="G459" s="39">
        <f>SmtRes!CX157</f>
        <v>0</v>
      </c>
      <c r="H459" s="41">
        <f>SmtRes!CZ157</f>
        <v>80.02</v>
      </c>
      <c r="I459" s="40">
        <f>SmtRes!AI157</f>
        <v>1.77</v>
      </c>
      <c r="J459" s="41">
        <f t="shared" si="7"/>
        <v>141.63999999999999</v>
      </c>
      <c r="K459" s="40"/>
      <c r="L459" s="41">
        <f>SmtRes!DF157</f>
        <v>0</v>
      </c>
    </row>
    <row r="460" spans="1:83" ht="14.25" x14ac:dyDescent="0.2">
      <c r="A460" s="37"/>
      <c r="B460" s="37" t="s">
        <v>553</v>
      </c>
      <c r="C460" s="37" t="s">
        <v>555</v>
      </c>
      <c r="D460" s="38" t="s">
        <v>549</v>
      </c>
      <c r="E460" s="39">
        <v>0</v>
      </c>
      <c r="F460" s="39">
        <f t="shared" si="6"/>
        <v>0</v>
      </c>
      <c r="G460" s="39">
        <f>SmtRes!CX158</f>
        <v>0</v>
      </c>
      <c r="H460" s="41">
        <f>SmtRes!CZ158</f>
        <v>174.93</v>
      </c>
      <c r="I460" s="40">
        <f>SmtRes!AI158</f>
        <v>1.1499999999999999</v>
      </c>
      <c r="J460" s="41">
        <f t="shared" si="7"/>
        <v>201.17</v>
      </c>
      <c r="K460" s="40"/>
      <c r="L460" s="41">
        <f>SmtRes!DF158</f>
        <v>0</v>
      </c>
    </row>
    <row r="461" spans="1:83" ht="14.25" x14ac:dyDescent="0.2">
      <c r="A461" s="37"/>
      <c r="B461" s="37" t="s">
        <v>625</v>
      </c>
      <c r="C461" s="37" t="s">
        <v>627</v>
      </c>
      <c r="D461" s="38" t="s">
        <v>549</v>
      </c>
      <c r="E461" s="39">
        <v>0.02</v>
      </c>
      <c r="F461" s="39">
        <f t="shared" si="6"/>
        <v>0</v>
      </c>
      <c r="G461" s="39">
        <f>SmtRes!CX159</f>
        <v>0</v>
      </c>
      <c r="H461" s="41">
        <f>SmtRes!CZ159</f>
        <v>56.11</v>
      </c>
      <c r="I461" s="40">
        <f>SmtRes!AI159</f>
        <v>1.39</v>
      </c>
      <c r="J461" s="41">
        <f t="shared" si="7"/>
        <v>77.989999999999995</v>
      </c>
      <c r="K461" s="40"/>
      <c r="L461" s="41">
        <f>SmtRes!DF159</f>
        <v>0</v>
      </c>
    </row>
    <row r="462" spans="1:83" ht="14.25" x14ac:dyDescent="0.2">
      <c r="A462" s="37"/>
      <c r="B462" s="37" t="s">
        <v>688</v>
      </c>
      <c r="C462" s="37" t="s">
        <v>690</v>
      </c>
      <c r="D462" s="38" t="s">
        <v>94</v>
      </c>
      <c r="E462" s="39">
        <v>1E-4</v>
      </c>
      <c r="F462" s="39">
        <f t="shared" si="6"/>
        <v>0</v>
      </c>
      <c r="G462" s="39">
        <f>SmtRes!CX162</f>
        <v>0</v>
      </c>
      <c r="H462" s="41">
        <f>SmtRes!CZ162</f>
        <v>80020.98</v>
      </c>
      <c r="I462" s="40">
        <f>SmtRes!AI162</f>
        <v>1.22</v>
      </c>
      <c r="J462" s="41">
        <f t="shared" si="7"/>
        <v>97625.600000000006</v>
      </c>
      <c r="K462" s="40"/>
      <c r="L462" s="41">
        <f>SmtRes!DF162</f>
        <v>0</v>
      </c>
    </row>
    <row r="463" spans="1:83" ht="14.25" x14ac:dyDescent="0.2">
      <c r="A463" s="37"/>
      <c r="B463" s="37" t="s">
        <v>628</v>
      </c>
      <c r="C463" s="45" t="s">
        <v>630</v>
      </c>
      <c r="D463" s="46" t="s">
        <v>549</v>
      </c>
      <c r="E463" s="47">
        <v>0.12</v>
      </c>
      <c r="F463" s="47">
        <f t="shared" si="6"/>
        <v>0</v>
      </c>
      <c r="G463" s="47">
        <f>SmtRes!CX163</f>
        <v>0</v>
      </c>
      <c r="H463" s="48">
        <f>SmtRes!CZ163</f>
        <v>60.6</v>
      </c>
      <c r="I463" s="49">
        <f>SmtRes!AI163</f>
        <v>1.27</v>
      </c>
      <c r="J463" s="48">
        <f t="shared" si="7"/>
        <v>76.959999999999994</v>
      </c>
      <c r="K463" s="49"/>
      <c r="L463" s="48">
        <f>SmtRes!DF163</f>
        <v>0</v>
      </c>
    </row>
    <row r="464" spans="1:83" ht="15" x14ac:dyDescent="0.2">
      <c r="A464" s="37"/>
      <c r="B464" s="37"/>
      <c r="C464" s="51" t="s">
        <v>841</v>
      </c>
      <c r="D464" s="38"/>
      <c r="E464" s="39"/>
      <c r="F464" s="39"/>
      <c r="G464" s="39"/>
      <c r="H464" s="41"/>
      <c r="I464" s="40"/>
      <c r="J464" s="41"/>
      <c r="K464" s="40"/>
      <c r="L464" s="41">
        <f>L449+L451+L452+L457</f>
        <v>1676.78</v>
      </c>
    </row>
    <row r="465" spans="1:83" ht="14.25" x14ac:dyDescent="0.2">
      <c r="A465" s="37"/>
      <c r="B465" s="37"/>
      <c r="C465" s="37" t="s">
        <v>842</v>
      </c>
      <c r="D465" s="38"/>
      <c r="E465" s="39"/>
      <c r="F465" s="39"/>
      <c r="G465" s="39"/>
      <c r="H465" s="41"/>
      <c r="I465" s="40"/>
      <c r="J465" s="41"/>
      <c r="K465" s="40"/>
      <c r="L465" s="41">
        <f>SUM(AR447:AR468)+SUM(AS447:AS468)+SUM(AT447:AT468)+SUM(AU447:AU468)+SUM(AV447:AV468)</f>
        <v>1321.78</v>
      </c>
    </row>
    <row r="466" spans="1:83" ht="14.25" x14ac:dyDescent="0.2">
      <c r="A466" s="37"/>
      <c r="B466" s="37" t="s">
        <v>241</v>
      </c>
      <c r="C466" s="37" t="s">
        <v>914</v>
      </c>
      <c r="D466" s="38" t="s">
        <v>669</v>
      </c>
      <c r="E466" s="39">
        <f>Source!BZ123</f>
        <v>103</v>
      </c>
      <c r="F466" s="39"/>
      <c r="G466" s="39">
        <f>Source!AT123</f>
        <v>103</v>
      </c>
      <c r="H466" s="41"/>
      <c r="I466" s="40"/>
      <c r="J466" s="41"/>
      <c r="K466" s="40"/>
      <c r="L466" s="41">
        <f>SUM(AZ447:AZ468)</f>
        <v>1361.43</v>
      </c>
    </row>
    <row r="467" spans="1:83" ht="14.25" x14ac:dyDescent="0.2">
      <c r="A467" s="45"/>
      <c r="B467" s="45" t="s">
        <v>242</v>
      </c>
      <c r="C467" s="45" t="s">
        <v>915</v>
      </c>
      <c r="D467" s="46" t="s">
        <v>669</v>
      </c>
      <c r="E467" s="47">
        <f>Source!CA123</f>
        <v>60</v>
      </c>
      <c r="F467" s="47"/>
      <c r="G467" s="47">
        <f>Source!AU123</f>
        <v>60</v>
      </c>
      <c r="H467" s="48"/>
      <c r="I467" s="49"/>
      <c r="J467" s="48"/>
      <c r="K467" s="49"/>
      <c r="L467" s="48">
        <f>SUM(BA447:BA468)</f>
        <v>793.07</v>
      </c>
    </row>
    <row r="468" spans="1:83" ht="15" x14ac:dyDescent="0.2">
      <c r="C468" s="112" t="s">
        <v>845</v>
      </c>
      <c r="D468" s="112"/>
      <c r="E468" s="112"/>
      <c r="F468" s="112"/>
      <c r="G468" s="112"/>
      <c r="H468" s="112"/>
      <c r="I468" s="113">
        <f>K468/E447</f>
        <v>3831.2799999999997</v>
      </c>
      <c r="J468" s="113"/>
      <c r="K468" s="113">
        <f>L449+L451+L457+L466+L467+L452</f>
        <v>3831.2799999999997</v>
      </c>
      <c r="L468" s="113"/>
      <c r="AD468">
        <f>ROUND((Source!AT123/100)*((ROUND(SUMIF(SmtRes!AQ152:'SmtRes'!AQ166,"=1",SmtRes!AD152:'SmtRes'!AD166)*Source!I123, 2)+ROUND(SUMIF(SmtRes!AQ152:'SmtRes'!AQ166,"=1",SmtRes!AC152:'SmtRes'!AC166)*Source!I123, 2))), 2)</f>
        <v>1711.86</v>
      </c>
      <c r="AE468">
        <f>ROUND((Source!AU123/100)*((ROUND(SUMIF(SmtRes!AQ152:'SmtRes'!AQ166,"=1",SmtRes!AD152:'SmtRes'!AD166)*Source!I123, 2)+ROUND(SUMIF(SmtRes!AQ152:'SmtRes'!AQ166,"=1",SmtRes!AC152:'SmtRes'!AC166)*Source!I123, 2))), 2)</f>
        <v>997.2</v>
      </c>
      <c r="AN468" s="50">
        <f>L449+L451+L457+L466+L467+L452</f>
        <v>3831.2799999999997</v>
      </c>
      <c r="AO468" s="50">
        <f>L451</f>
        <v>355</v>
      </c>
      <c r="AQ468" t="s">
        <v>846</v>
      </c>
      <c r="AR468" s="50">
        <f>L449</f>
        <v>1140.8499999999999</v>
      </c>
      <c r="AT468" s="50">
        <f>L452</f>
        <v>180.93</v>
      </c>
      <c r="AV468" t="s">
        <v>846</v>
      </c>
      <c r="AW468" s="50">
        <f>L457</f>
        <v>0</v>
      </c>
      <c r="AZ468">
        <f>Source!X123</f>
        <v>1361.43</v>
      </c>
      <c r="BA468">
        <f>Source!Y123</f>
        <v>793.07</v>
      </c>
      <c r="CD468">
        <v>1</v>
      </c>
    </row>
    <row r="469" spans="1:83" ht="42.75" x14ac:dyDescent="0.2">
      <c r="A469" s="35" t="s">
        <v>243</v>
      </c>
      <c r="B469" s="37" t="s">
        <v>916</v>
      </c>
      <c r="C469" s="37" t="str">
        <f>Source!G124</f>
        <v>Демонтаж провода СИП-3 на опорах, (3 провода) при 21 опоре на км линии: с использованием автогидроподъемника</v>
      </c>
      <c r="D469" s="38" t="str">
        <f>Source!H124</f>
        <v>км</v>
      </c>
      <c r="E469" s="39">
        <f>Source!K124</f>
        <v>0.01</v>
      </c>
      <c r="F469" s="39"/>
      <c r="G469" s="39">
        <f>Source!I124</f>
        <v>0.01</v>
      </c>
      <c r="H469" s="41"/>
      <c r="I469" s="40"/>
      <c r="J469" s="41"/>
      <c r="K469" s="40"/>
      <c r="L469" s="41"/>
    </row>
    <row r="470" spans="1:83" ht="25.5" x14ac:dyDescent="0.2">
      <c r="B470" s="42" t="s">
        <v>784</v>
      </c>
      <c r="C470" s="110" t="s">
        <v>909</v>
      </c>
      <c r="D470" s="110"/>
      <c r="E470" s="110"/>
      <c r="F470" s="110"/>
      <c r="G470" s="110"/>
      <c r="H470" s="110"/>
      <c r="I470" s="110"/>
      <c r="J470" s="110"/>
      <c r="K470" s="110"/>
      <c r="L470" s="110"/>
    </row>
    <row r="471" spans="1:83" ht="15" x14ac:dyDescent="0.2">
      <c r="A471" s="36"/>
      <c r="B471" s="39">
        <v>1</v>
      </c>
      <c r="C471" s="36" t="s">
        <v>835</v>
      </c>
      <c r="D471" s="38" t="s">
        <v>509</v>
      </c>
      <c r="E471" s="43"/>
      <c r="F471" s="39"/>
      <c r="G471" s="43">
        <f>Source!U124</f>
        <v>0.23483999999999999</v>
      </c>
      <c r="H471" s="39"/>
      <c r="I471" s="39"/>
      <c r="J471" s="39"/>
      <c r="K471" s="39"/>
      <c r="L471" s="44">
        <f>SUM(L472:L475)-SUMIF(CE472:CE475, 1, L472:L475)</f>
        <v>112.77000000000001</v>
      </c>
    </row>
    <row r="472" spans="1:83" ht="14.25" x14ac:dyDescent="0.2">
      <c r="A472" s="37"/>
      <c r="B472" s="37" t="s">
        <v>697</v>
      </c>
      <c r="C472" s="37" t="s">
        <v>698</v>
      </c>
      <c r="D472" s="38" t="s">
        <v>699</v>
      </c>
      <c r="E472" s="39">
        <v>0.91</v>
      </c>
      <c r="F472" s="39">
        <f>ROUND(0.3,7)</f>
        <v>0.3</v>
      </c>
      <c r="G472" s="39">
        <f>SmtRes!CX167</f>
        <v>2.7299999999999998E-3</v>
      </c>
      <c r="H472" s="41"/>
      <c r="I472" s="40"/>
      <c r="J472" s="41">
        <f>SmtRes!CZ167</f>
        <v>399.03</v>
      </c>
      <c r="K472" s="40"/>
      <c r="L472" s="41">
        <f>SmtRes!DI167</f>
        <v>1.0900000000000001</v>
      </c>
    </row>
    <row r="473" spans="1:83" ht="14.25" x14ac:dyDescent="0.2">
      <c r="A473" s="37"/>
      <c r="B473" s="37" t="s">
        <v>700</v>
      </c>
      <c r="C473" s="37" t="s">
        <v>701</v>
      </c>
      <c r="D473" s="38" t="s">
        <v>699</v>
      </c>
      <c r="E473" s="39">
        <v>38.89</v>
      </c>
      <c r="F473" s="39">
        <f>ROUND(0.3,7)</f>
        <v>0.3</v>
      </c>
      <c r="G473" s="39">
        <f>SmtRes!CX168</f>
        <v>0.11667</v>
      </c>
      <c r="H473" s="41"/>
      <c r="I473" s="40"/>
      <c r="J473" s="41">
        <f>SmtRes!CZ168</f>
        <v>435.64</v>
      </c>
      <c r="K473" s="40"/>
      <c r="L473" s="41">
        <f>SmtRes!DI168</f>
        <v>50.83</v>
      </c>
    </row>
    <row r="474" spans="1:83" ht="14.25" x14ac:dyDescent="0.2">
      <c r="A474" s="37"/>
      <c r="B474" s="37" t="s">
        <v>702</v>
      </c>
      <c r="C474" s="37" t="s">
        <v>703</v>
      </c>
      <c r="D474" s="38" t="s">
        <v>699</v>
      </c>
      <c r="E474" s="39">
        <v>19.239999999999998</v>
      </c>
      <c r="F474" s="39">
        <f>ROUND(0.3,7)</f>
        <v>0.3</v>
      </c>
      <c r="G474" s="39">
        <f>SmtRes!CX169</f>
        <v>5.772E-2</v>
      </c>
      <c r="H474" s="41"/>
      <c r="I474" s="40"/>
      <c r="J474" s="41">
        <f>SmtRes!CZ169</f>
        <v>490.55</v>
      </c>
      <c r="K474" s="40"/>
      <c r="L474" s="41">
        <f>SmtRes!DI169</f>
        <v>28.31</v>
      </c>
    </row>
    <row r="475" spans="1:83" ht="14.25" x14ac:dyDescent="0.2">
      <c r="A475" s="37"/>
      <c r="B475" s="37" t="s">
        <v>704</v>
      </c>
      <c r="C475" s="37" t="s">
        <v>705</v>
      </c>
      <c r="D475" s="38" t="s">
        <v>699</v>
      </c>
      <c r="E475" s="39">
        <v>19.239999999999998</v>
      </c>
      <c r="F475" s="39">
        <f>ROUND(0.3,7)</f>
        <v>0.3</v>
      </c>
      <c r="G475" s="39">
        <f>SmtRes!CX170</f>
        <v>5.772E-2</v>
      </c>
      <c r="H475" s="41"/>
      <c r="I475" s="40"/>
      <c r="J475" s="41">
        <f>SmtRes!CZ170</f>
        <v>563.76</v>
      </c>
      <c r="K475" s="40"/>
      <c r="L475" s="41">
        <f>SmtRes!DI170</f>
        <v>32.54</v>
      </c>
    </row>
    <row r="476" spans="1:83" ht="15" x14ac:dyDescent="0.2">
      <c r="A476" s="36"/>
      <c r="B476" s="39">
        <v>2</v>
      </c>
      <c r="C476" s="36" t="s">
        <v>836</v>
      </c>
      <c r="D476" s="38"/>
      <c r="E476" s="43"/>
      <c r="F476" s="39"/>
      <c r="G476" s="43"/>
      <c r="H476" s="39"/>
      <c r="I476" s="39"/>
      <c r="J476" s="39"/>
      <c r="K476" s="39"/>
      <c r="L476" s="44">
        <f>SUM(L477:L486)-SUMIF(CE477:CE486, 1, L477:L486)</f>
        <v>31.689999999999998</v>
      </c>
    </row>
    <row r="477" spans="1:83" ht="15" x14ac:dyDescent="0.2">
      <c r="A477" s="36"/>
      <c r="B477" s="39"/>
      <c r="C477" s="36" t="s">
        <v>839</v>
      </c>
      <c r="D477" s="38" t="s">
        <v>509</v>
      </c>
      <c r="E477" s="43"/>
      <c r="F477" s="39"/>
      <c r="G477" s="43">
        <f>Source!V124</f>
        <v>6.6720000000000002E-2</v>
      </c>
      <c r="H477" s="39"/>
      <c r="I477" s="39"/>
      <c r="J477" s="39"/>
      <c r="K477" s="39"/>
      <c r="L477" s="44">
        <f>SUMIF(CE478:CE486, 1, L478:L486)</f>
        <v>33.059999999999995</v>
      </c>
      <c r="CE477">
        <v>1</v>
      </c>
    </row>
    <row r="478" spans="1:83" ht="28.5" x14ac:dyDescent="0.2">
      <c r="A478" s="37"/>
      <c r="B478" s="37" t="s">
        <v>512</v>
      </c>
      <c r="C478" s="37" t="s">
        <v>514</v>
      </c>
      <c r="D478" s="38" t="s">
        <v>515</v>
      </c>
      <c r="E478" s="39">
        <v>0.64</v>
      </c>
      <c r="F478" s="39">
        <f t="shared" ref="F478:F486" si="8">ROUND(0.3,7)</f>
        <v>0.3</v>
      </c>
      <c r="G478" s="39">
        <f>SmtRes!CX172</f>
        <v>1.92E-3</v>
      </c>
      <c r="H478" s="41"/>
      <c r="I478" s="40"/>
      <c r="J478" s="41">
        <f>SmtRes!CZ172</f>
        <v>1551.19</v>
      </c>
      <c r="K478" s="40"/>
      <c r="L478" s="41">
        <f>SmtRes!DG172</f>
        <v>2.98</v>
      </c>
    </row>
    <row r="479" spans="1:83" ht="14.25" x14ac:dyDescent="0.2">
      <c r="A479" s="37"/>
      <c r="B479" s="37" t="s">
        <v>516</v>
      </c>
      <c r="C479" s="37" t="s">
        <v>837</v>
      </c>
      <c r="D479" s="38" t="s">
        <v>509</v>
      </c>
      <c r="E479" s="39">
        <f>SmtRes!DO172*SmtRes!AT172</f>
        <v>0.64</v>
      </c>
      <c r="F479" s="39">
        <f t="shared" si="8"/>
        <v>0.3</v>
      </c>
      <c r="G479" s="39">
        <f>SmtRes!DO172*SmtRes!CX172</f>
        <v>1.92E-3</v>
      </c>
      <c r="H479" s="41"/>
      <c r="I479" s="40"/>
      <c r="J479" s="41">
        <f>ROUND(SmtRes!AG172/SmtRes!DO172, 2)</f>
        <v>658.94</v>
      </c>
      <c r="K479" s="40"/>
      <c r="L479" s="41">
        <f>SmtRes!DH172</f>
        <v>1.27</v>
      </c>
      <c r="CE479">
        <v>1</v>
      </c>
    </row>
    <row r="480" spans="1:83" ht="28.5" x14ac:dyDescent="0.2">
      <c r="A480" s="37"/>
      <c r="B480" s="37" t="s">
        <v>706</v>
      </c>
      <c r="C480" s="37" t="s">
        <v>708</v>
      </c>
      <c r="D480" s="38" t="s">
        <v>515</v>
      </c>
      <c r="E480" s="39">
        <v>2.4</v>
      </c>
      <c r="F480" s="39">
        <f t="shared" si="8"/>
        <v>0.3</v>
      </c>
      <c r="G480" s="39">
        <f>SmtRes!CX173</f>
        <v>7.1999999999999998E-3</v>
      </c>
      <c r="H480" s="41"/>
      <c r="I480" s="40"/>
      <c r="J480" s="41">
        <f>SmtRes!CZ173</f>
        <v>15.12</v>
      </c>
      <c r="K480" s="40"/>
      <c r="L480" s="41">
        <f>SmtRes!DG173</f>
        <v>0.11</v>
      </c>
    </row>
    <row r="481" spans="1:83" ht="14.25" x14ac:dyDescent="0.2">
      <c r="A481" s="37"/>
      <c r="B481" s="37" t="s">
        <v>709</v>
      </c>
      <c r="C481" s="37" t="s">
        <v>711</v>
      </c>
      <c r="D481" s="38" t="s">
        <v>515</v>
      </c>
      <c r="E481" s="39">
        <v>18.68</v>
      </c>
      <c r="F481" s="39">
        <f t="shared" si="8"/>
        <v>0.3</v>
      </c>
      <c r="G481" s="39">
        <f>SmtRes!CX174</f>
        <v>5.604E-2</v>
      </c>
      <c r="H481" s="41">
        <f>SmtRes!CZ174</f>
        <v>346.73</v>
      </c>
      <c r="I481" s="40">
        <f>SmtRes!AJ174</f>
        <v>1.36</v>
      </c>
      <c r="J481" s="41">
        <f>ROUND(H481*I481, 2)</f>
        <v>471.55</v>
      </c>
      <c r="K481" s="40"/>
      <c r="L481" s="41">
        <f>SmtRes!DG174</f>
        <v>26.43</v>
      </c>
    </row>
    <row r="482" spans="1:83" ht="14.25" x14ac:dyDescent="0.2">
      <c r="A482" s="37"/>
      <c r="B482" s="37" t="s">
        <v>523</v>
      </c>
      <c r="C482" s="37" t="s">
        <v>838</v>
      </c>
      <c r="D482" s="38" t="s">
        <v>509</v>
      </c>
      <c r="E482" s="39">
        <f>SmtRes!DO174*SmtRes!AT174</f>
        <v>18.68</v>
      </c>
      <c r="F482" s="39">
        <f t="shared" si="8"/>
        <v>0.3</v>
      </c>
      <c r="G482" s="39">
        <f>SmtRes!DO174*SmtRes!CX174</f>
        <v>5.604E-2</v>
      </c>
      <c r="H482" s="41"/>
      <c r="I482" s="40"/>
      <c r="J482" s="41">
        <f>ROUND(SmtRes!AG174/SmtRes!DO174, 2)</f>
        <v>490.55</v>
      </c>
      <c r="K482" s="40"/>
      <c r="L482" s="41">
        <f>SmtRes!DH174</f>
        <v>27.49</v>
      </c>
      <c r="CE482">
        <v>1</v>
      </c>
    </row>
    <row r="483" spans="1:83" ht="14.25" x14ac:dyDescent="0.2">
      <c r="A483" s="37"/>
      <c r="B483" s="37" t="s">
        <v>520</v>
      </c>
      <c r="C483" s="37" t="s">
        <v>522</v>
      </c>
      <c r="D483" s="38" t="s">
        <v>515</v>
      </c>
      <c r="E483" s="39">
        <v>0.52</v>
      </c>
      <c r="F483" s="39">
        <f t="shared" si="8"/>
        <v>0.3</v>
      </c>
      <c r="G483" s="39">
        <f>SmtRes!CX175</f>
        <v>1.56E-3</v>
      </c>
      <c r="H483" s="41">
        <f>SmtRes!CZ175</f>
        <v>477.92</v>
      </c>
      <c r="I483" s="40">
        <f>SmtRes!AJ175</f>
        <v>1.21</v>
      </c>
      <c r="J483" s="41">
        <f>ROUND(H483*I483, 2)</f>
        <v>578.28</v>
      </c>
      <c r="K483" s="40"/>
      <c r="L483" s="41">
        <f>SmtRes!DG175</f>
        <v>0.9</v>
      </c>
    </row>
    <row r="484" spans="1:83" ht="14.25" x14ac:dyDescent="0.2">
      <c r="A484" s="37"/>
      <c r="B484" s="37" t="s">
        <v>523</v>
      </c>
      <c r="C484" s="37" t="s">
        <v>838</v>
      </c>
      <c r="D484" s="38" t="s">
        <v>509</v>
      </c>
      <c r="E484" s="39">
        <f>SmtRes!DO175*SmtRes!AT175</f>
        <v>0.52</v>
      </c>
      <c r="F484" s="39">
        <f t="shared" si="8"/>
        <v>0.3</v>
      </c>
      <c r="G484" s="39">
        <f>SmtRes!DO175*SmtRes!CX175</f>
        <v>1.56E-3</v>
      </c>
      <c r="H484" s="41"/>
      <c r="I484" s="40"/>
      <c r="J484" s="41">
        <f>ROUND(SmtRes!AG175/SmtRes!DO175, 2)</f>
        <v>490.55</v>
      </c>
      <c r="K484" s="40"/>
      <c r="L484" s="41">
        <f>SmtRes!DH175</f>
        <v>0.77</v>
      </c>
      <c r="CE484">
        <v>1</v>
      </c>
    </row>
    <row r="485" spans="1:83" ht="28.5" x14ac:dyDescent="0.2">
      <c r="A485" s="37"/>
      <c r="B485" s="37" t="s">
        <v>712</v>
      </c>
      <c r="C485" s="37" t="s">
        <v>714</v>
      </c>
      <c r="D485" s="38" t="s">
        <v>515</v>
      </c>
      <c r="E485" s="39">
        <v>2.4</v>
      </c>
      <c r="F485" s="39">
        <f t="shared" si="8"/>
        <v>0.3</v>
      </c>
      <c r="G485" s="39">
        <f>SmtRes!CX176</f>
        <v>7.1999999999999998E-3</v>
      </c>
      <c r="H485" s="41"/>
      <c r="I485" s="40"/>
      <c r="J485" s="41">
        <f>SmtRes!CZ176</f>
        <v>176.5</v>
      </c>
      <c r="K485" s="40"/>
      <c r="L485" s="41">
        <f>SmtRes!DG176</f>
        <v>1.27</v>
      </c>
    </row>
    <row r="486" spans="1:83" ht="14.25" x14ac:dyDescent="0.2">
      <c r="A486" s="37"/>
      <c r="B486" s="37" t="s">
        <v>523</v>
      </c>
      <c r="C486" s="45" t="s">
        <v>838</v>
      </c>
      <c r="D486" s="46" t="s">
        <v>509</v>
      </c>
      <c r="E486" s="47">
        <f>SmtRes!DO176*SmtRes!AT176</f>
        <v>2.4</v>
      </c>
      <c r="F486" s="47">
        <f t="shared" si="8"/>
        <v>0.3</v>
      </c>
      <c r="G486" s="47">
        <f>SmtRes!DO176*SmtRes!CX176</f>
        <v>7.1999999999999998E-3</v>
      </c>
      <c r="H486" s="48"/>
      <c r="I486" s="49"/>
      <c r="J486" s="48">
        <f>ROUND(SmtRes!AG176/SmtRes!DO176, 2)</f>
        <v>490.55</v>
      </c>
      <c r="K486" s="49"/>
      <c r="L486" s="48">
        <f>SmtRes!DH176</f>
        <v>3.53</v>
      </c>
      <c r="CE486">
        <v>1</v>
      </c>
    </row>
    <row r="487" spans="1:83" ht="15" x14ac:dyDescent="0.2">
      <c r="A487" s="37"/>
      <c r="B487" s="37"/>
      <c r="C487" s="51" t="s">
        <v>841</v>
      </c>
      <c r="D487" s="38"/>
      <c r="E487" s="39"/>
      <c r="F487" s="39"/>
      <c r="G487" s="39"/>
      <c r="H487" s="41"/>
      <c r="I487" s="40"/>
      <c r="J487" s="41"/>
      <c r="K487" s="40"/>
      <c r="L487" s="41">
        <f>L471+L476+L477</f>
        <v>177.52</v>
      </c>
    </row>
    <row r="488" spans="1:83" ht="14.25" x14ac:dyDescent="0.2">
      <c r="A488" s="37"/>
      <c r="B488" s="37"/>
      <c r="C488" s="37" t="s">
        <v>842</v>
      </c>
      <c r="D488" s="38"/>
      <c r="E488" s="39"/>
      <c r="F488" s="39"/>
      <c r="G488" s="39"/>
      <c r="H488" s="41"/>
      <c r="I488" s="40"/>
      <c r="J488" s="41"/>
      <c r="K488" s="40"/>
      <c r="L488" s="41">
        <f>SUM(AR469:AR491)+SUM(AS469:AS491)+SUM(AT469:AT491)+SUM(AU469:AU491)+SUM(AV469:AV491)</f>
        <v>145.83000000000001</v>
      </c>
    </row>
    <row r="489" spans="1:83" ht="14.25" x14ac:dyDescent="0.2">
      <c r="A489" s="37"/>
      <c r="B489" s="37" t="s">
        <v>241</v>
      </c>
      <c r="C489" s="37" t="s">
        <v>914</v>
      </c>
      <c r="D489" s="38" t="s">
        <v>669</v>
      </c>
      <c r="E489" s="39">
        <f>Source!BZ124</f>
        <v>103</v>
      </c>
      <c r="F489" s="39"/>
      <c r="G489" s="39">
        <f>Source!AT124</f>
        <v>103</v>
      </c>
      <c r="H489" s="41"/>
      <c r="I489" s="40"/>
      <c r="J489" s="41"/>
      <c r="K489" s="40"/>
      <c r="L489" s="41">
        <f>SUM(AZ469:AZ491)</f>
        <v>150.19999999999999</v>
      </c>
    </row>
    <row r="490" spans="1:83" ht="14.25" x14ac:dyDescent="0.2">
      <c r="A490" s="45"/>
      <c r="B490" s="45" t="s">
        <v>242</v>
      </c>
      <c r="C490" s="45" t="s">
        <v>915</v>
      </c>
      <c r="D490" s="46" t="s">
        <v>669</v>
      </c>
      <c r="E490" s="47">
        <f>Source!CA124</f>
        <v>60</v>
      </c>
      <c r="F490" s="47"/>
      <c r="G490" s="47">
        <f>Source!AU124</f>
        <v>60</v>
      </c>
      <c r="H490" s="48"/>
      <c r="I490" s="49"/>
      <c r="J490" s="48"/>
      <c r="K490" s="49"/>
      <c r="L490" s="48">
        <f>SUM(BA469:BA491)</f>
        <v>87.5</v>
      </c>
    </row>
    <row r="491" spans="1:83" ht="15" x14ac:dyDescent="0.2">
      <c r="C491" s="112" t="s">
        <v>845</v>
      </c>
      <c r="D491" s="112"/>
      <c r="E491" s="112"/>
      <c r="F491" s="112"/>
      <c r="G491" s="112"/>
      <c r="H491" s="112"/>
      <c r="I491" s="113">
        <f>K491/E469</f>
        <v>41521.999999999993</v>
      </c>
      <c r="J491" s="113"/>
      <c r="K491" s="113">
        <f>L471+L476+L489+L490+L477</f>
        <v>415.21999999999997</v>
      </c>
      <c r="L491" s="113"/>
      <c r="AD491">
        <f>ROUND((Source!AT124/100)*((ROUND(SUMIF(SmtRes!AQ167:'SmtRes'!AQ176,"=1",SmtRes!AD167:'SmtRes'!AD176)*Source!I124, 2)+ROUND(SUMIF(SmtRes!AQ167:'SmtRes'!AQ176,"=1",SmtRes!AC167:'SmtRes'!AC176)*Source!I124, 2))), 2)</f>
        <v>41.41</v>
      </c>
      <c r="AE491">
        <f>ROUND((Source!AU124/100)*((ROUND(SUMIF(SmtRes!AQ167:'SmtRes'!AQ176,"=1",SmtRes!AD167:'SmtRes'!AD176)*Source!I124, 2)+ROUND(SUMIF(SmtRes!AQ167:'SmtRes'!AQ176,"=1",SmtRes!AC167:'SmtRes'!AC176)*Source!I124, 2))), 2)</f>
        <v>24.12</v>
      </c>
      <c r="AN491" s="50">
        <f>L471+L476+L489+L490+L477</f>
        <v>415.21999999999997</v>
      </c>
      <c r="AO491" s="50">
        <f>L476</f>
        <v>31.689999999999998</v>
      </c>
      <c r="AQ491" t="s">
        <v>846</v>
      </c>
      <c r="AR491" s="50">
        <f>L471</f>
        <v>112.77000000000001</v>
      </c>
      <c r="AT491" s="50">
        <f>L477</f>
        <v>33.059999999999995</v>
      </c>
      <c r="AV491" t="s">
        <v>846</v>
      </c>
      <c r="AW491">
        <f>0</f>
        <v>0</v>
      </c>
      <c r="AZ491">
        <f>Source!X124</f>
        <v>150.19999999999999</v>
      </c>
      <c r="BA491">
        <f>Source!Y124</f>
        <v>87.5</v>
      </c>
      <c r="CD491">
        <v>1</v>
      </c>
    </row>
    <row r="492" spans="1:83" ht="28.5" x14ac:dyDescent="0.2">
      <c r="A492" s="35" t="s">
        <v>248</v>
      </c>
      <c r="B492" s="37" t="s">
        <v>917</v>
      </c>
      <c r="C492" s="37" t="str">
        <f>Source!G125</f>
        <v>Демонтаж: Изолятор опорный напряжением: до 10 кВ</v>
      </c>
      <c r="D492" s="38" t="str">
        <f>Source!H125</f>
        <v>ШТ</v>
      </c>
      <c r="E492" s="39">
        <f>Source!K125</f>
        <v>3</v>
      </c>
      <c r="F492" s="39"/>
      <c r="G492" s="39">
        <f>Source!I125</f>
        <v>3</v>
      </c>
      <c r="H492" s="41"/>
      <c r="I492" s="40"/>
      <c r="J492" s="41"/>
      <c r="K492" s="40"/>
      <c r="L492" s="41"/>
    </row>
    <row r="493" spans="1:83" ht="25.5" x14ac:dyDescent="0.2">
      <c r="B493" s="42" t="s">
        <v>784</v>
      </c>
      <c r="C493" s="110" t="s">
        <v>909</v>
      </c>
      <c r="D493" s="110"/>
      <c r="E493" s="110"/>
      <c r="F493" s="110"/>
      <c r="G493" s="110"/>
      <c r="H493" s="110"/>
      <c r="I493" s="110"/>
      <c r="J493" s="110"/>
      <c r="K493" s="110"/>
      <c r="L493" s="110"/>
    </row>
    <row r="494" spans="1:83" ht="15" x14ac:dyDescent="0.2">
      <c r="A494" s="36"/>
      <c r="B494" s="39">
        <v>1</v>
      </c>
      <c r="C494" s="36" t="s">
        <v>835</v>
      </c>
      <c r="D494" s="38" t="s">
        <v>509</v>
      </c>
      <c r="E494" s="43"/>
      <c r="F494" s="39"/>
      <c r="G494" s="43">
        <f>Source!U125</f>
        <v>0.36</v>
      </c>
      <c r="H494" s="39"/>
      <c r="I494" s="39"/>
      <c r="J494" s="39"/>
      <c r="K494" s="39"/>
      <c r="L494" s="44">
        <f>SUM(L495:L495)-SUMIF(CE495:CE495, 1, L495:L495)</f>
        <v>176.6</v>
      </c>
    </row>
    <row r="495" spans="1:83" ht="14.25" x14ac:dyDescent="0.2">
      <c r="A495" s="37"/>
      <c r="B495" s="37" t="s">
        <v>653</v>
      </c>
      <c r="C495" s="37" t="s">
        <v>654</v>
      </c>
      <c r="D495" s="38" t="s">
        <v>509</v>
      </c>
      <c r="E495" s="39">
        <v>0.4</v>
      </c>
      <c r="F495" s="39">
        <f>ROUND(0.3,7)</f>
        <v>0.3</v>
      </c>
      <c r="G495" s="39">
        <f>SmtRes!CX177</f>
        <v>0.36</v>
      </c>
      <c r="H495" s="41"/>
      <c r="I495" s="40"/>
      <c r="J495" s="41">
        <f>SmtRes!CZ177</f>
        <v>490.55</v>
      </c>
      <c r="K495" s="40"/>
      <c r="L495" s="41">
        <f>SmtRes!DI177</f>
        <v>176.6</v>
      </c>
    </row>
    <row r="496" spans="1:83" ht="15" x14ac:dyDescent="0.2">
      <c r="A496" s="36"/>
      <c r="B496" s="39">
        <v>2</v>
      </c>
      <c r="C496" s="36" t="s">
        <v>836</v>
      </c>
      <c r="D496" s="38"/>
      <c r="E496" s="43"/>
      <c r="F496" s="39"/>
      <c r="G496" s="43"/>
      <c r="H496" s="39"/>
      <c r="I496" s="39"/>
      <c r="J496" s="39"/>
      <c r="K496" s="39"/>
      <c r="L496" s="44">
        <f>SUM(L497:L501)-SUMIF(CE497:CE501, 1, L497:L501)</f>
        <v>13.409999999999997</v>
      </c>
    </row>
    <row r="497" spans="1:83" ht="15" x14ac:dyDescent="0.2">
      <c r="A497" s="36"/>
      <c r="B497" s="39"/>
      <c r="C497" s="36" t="s">
        <v>839</v>
      </c>
      <c r="D497" s="38" t="s">
        <v>509</v>
      </c>
      <c r="E497" s="43"/>
      <c r="F497" s="39"/>
      <c r="G497" s="43">
        <f>Source!V125</f>
        <v>1.26E-2</v>
      </c>
      <c r="H497" s="39"/>
      <c r="I497" s="39"/>
      <c r="J497" s="39"/>
      <c r="K497" s="39"/>
      <c r="L497" s="44">
        <f>SUMIF(CE498:CE501, 1, L498:L501)</f>
        <v>7.24</v>
      </c>
      <c r="CE497">
        <v>1</v>
      </c>
    </row>
    <row r="498" spans="1:83" ht="28.5" x14ac:dyDescent="0.2">
      <c r="A498" s="37"/>
      <c r="B498" s="37" t="s">
        <v>512</v>
      </c>
      <c r="C498" s="37" t="s">
        <v>514</v>
      </c>
      <c r="D498" s="38" t="s">
        <v>515</v>
      </c>
      <c r="E498" s="39">
        <v>7.0000000000000001E-3</v>
      </c>
      <c r="F498" s="39">
        <f>ROUND(0.3,7)</f>
        <v>0.3</v>
      </c>
      <c r="G498" s="39">
        <f>SmtRes!CX179</f>
        <v>6.3E-3</v>
      </c>
      <c r="H498" s="41"/>
      <c r="I498" s="40"/>
      <c r="J498" s="41">
        <f>SmtRes!CZ179</f>
        <v>1551.19</v>
      </c>
      <c r="K498" s="40"/>
      <c r="L498" s="41">
        <f>SmtRes!DG179</f>
        <v>9.77</v>
      </c>
    </row>
    <row r="499" spans="1:83" ht="14.25" x14ac:dyDescent="0.2">
      <c r="A499" s="37"/>
      <c r="B499" s="37" t="s">
        <v>516</v>
      </c>
      <c r="C499" s="37" t="s">
        <v>837</v>
      </c>
      <c r="D499" s="38" t="s">
        <v>509</v>
      </c>
      <c r="E499" s="39">
        <f>SmtRes!DO179*SmtRes!AT179</f>
        <v>7.0000000000000001E-3</v>
      </c>
      <c r="F499" s="39">
        <f>ROUND(0.3,7)</f>
        <v>0.3</v>
      </c>
      <c r="G499" s="39">
        <f>SmtRes!DO179*SmtRes!CX179</f>
        <v>6.3E-3</v>
      </c>
      <c r="H499" s="41"/>
      <c r="I499" s="40"/>
      <c r="J499" s="41">
        <f>ROUND(SmtRes!AG179/SmtRes!DO179, 2)</f>
        <v>658.94</v>
      </c>
      <c r="K499" s="40"/>
      <c r="L499" s="41">
        <f>SmtRes!DH179</f>
        <v>4.1500000000000004</v>
      </c>
      <c r="CE499">
        <v>1</v>
      </c>
    </row>
    <row r="500" spans="1:83" ht="14.25" x14ac:dyDescent="0.2">
      <c r="A500" s="37"/>
      <c r="B500" s="37" t="s">
        <v>520</v>
      </c>
      <c r="C500" s="37" t="s">
        <v>522</v>
      </c>
      <c r="D500" s="38" t="s">
        <v>515</v>
      </c>
      <c r="E500" s="39">
        <v>7.0000000000000001E-3</v>
      </c>
      <c r="F500" s="39">
        <f>ROUND(0.3,7)</f>
        <v>0.3</v>
      </c>
      <c r="G500" s="39">
        <f>SmtRes!CX180</f>
        <v>6.3E-3</v>
      </c>
      <c r="H500" s="41">
        <f>SmtRes!CZ180</f>
        <v>477.92</v>
      </c>
      <c r="I500" s="40">
        <f>SmtRes!AJ180</f>
        <v>1.21</v>
      </c>
      <c r="J500" s="41">
        <f>ROUND(H500*I500, 2)</f>
        <v>578.28</v>
      </c>
      <c r="K500" s="40"/>
      <c r="L500" s="41">
        <f>SmtRes!DG180</f>
        <v>3.64</v>
      </c>
    </row>
    <row r="501" spans="1:83" ht="14.25" x14ac:dyDescent="0.2">
      <c r="A501" s="37"/>
      <c r="B501" s="37" t="s">
        <v>523</v>
      </c>
      <c r="C501" s="37" t="s">
        <v>838</v>
      </c>
      <c r="D501" s="38" t="s">
        <v>509</v>
      </c>
      <c r="E501" s="39">
        <f>SmtRes!DO180*SmtRes!AT180</f>
        <v>7.0000000000000001E-3</v>
      </c>
      <c r="F501" s="39">
        <f>ROUND(0.3,7)</f>
        <v>0.3</v>
      </c>
      <c r="G501" s="39">
        <f>SmtRes!DO180*SmtRes!CX180</f>
        <v>6.3E-3</v>
      </c>
      <c r="H501" s="41"/>
      <c r="I501" s="40"/>
      <c r="J501" s="41">
        <f>ROUND(SmtRes!AG180/SmtRes!DO180, 2)</f>
        <v>490.55</v>
      </c>
      <c r="K501" s="40"/>
      <c r="L501" s="41">
        <f>SmtRes!DH180</f>
        <v>3.09</v>
      </c>
      <c r="CE501">
        <v>1</v>
      </c>
    </row>
    <row r="502" spans="1:83" ht="15" x14ac:dyDescent="0.2">
      <c r="A502" s="36"/>
      <c r="B502" s="39">
        <v>4</v>
      </c>
      <c r="C502" s="36" t="s">
        <v>840</v>
      </c>
      <c r="D502" s="38"/>
      <c r="E502" s="43"/>
      <c r="F502" s="39"/>
      <c r="G502" s="43"/>
      <c r="H502" s="39"/>
      <c r="I502" s="39"/>
      <c r="J502" s="39"/>
      <c r="K502" s="39"/>
      <c r="L502" s="44">
        <f>SUM(L503:L503)-SUMIF(CE503:CE503, 1, L503:L503)</f>
        <v>0</v>
      </c>
    </row>
    <row r="503" spans="1:83" ht="14.25" x14ac:dyDescent="0.2">
      <c r="A503" s="37"/>
      <c r="B503" s="37" t="s">
        <v>553</v>
      </c>
      <c r="C503" s="45" t="s">
        <v>555</v>
      </c>
      <c r="D503" s="46" t="s">
        <v>549</v>
      </c>
      <c r="E503" s="47">
        <v>0.08</v>
      </c>
      <c r="F503" s="47">
        <f>ROUND(0,7)</f>
        <v>0</v>
      </c>
      <c r="G503" s="47">
        <f>SmtRes!CX181</f>
        <v>0</v>
      </c>
      <c r="H503" s="48">
        <f>SmtRes!CZ181</f>
        <v>174.93</v>
      </c>
      <c r="I503" s="49">
        <f>SmtRes!AI181</f>
        <v>1.1499999999999999</v>
      </c>
      <c r="J503" s="48">
        <f>ROUND(H503*I503, 2)</f>
        <v>201.17</v>
      </c>
      <c r="K503" s="49"/>
      <c r="L503" s="48">
        <f>SmtRes!DF181</f>
        <v>0</v>
      </c>
    </row>
    <row r="504" spans="1:83" ht="15" x14ac:dyDescent="0.2">
      <c r="A504" s="37"/>
      <c r="B504" s="37"/>
      <c r="C504" s="51" t="s">
        <v>841</v>
      </c>
      <c r="D504" s="38"/>
      <c r="E504" s="39"/>
      <c r="F504" s="39"/>
      <c r="G504" s="39"/>
      <c r="H504" s="41"/>
      <c r="I504" s="40"/>
      <c r="J504" s="41"/>
      <c r="K504" s="40"/>
      <c r="L504" s="41">
        <f>L494+L496+L497+L502</f>
        <v>197.25</v>
      </c>
    </row>
    <row r="505" spans="1:83" ht="14.25" x14ac:dyDescent="0.2">
      <c r="A505" s="37"/>
      <c r="B505" s="37"/>
      <c r="C505" s="37" t="s">
        <v>842</v>
      </c>
      <c r="D505" s="38"/>
      <c r="E505" s="39"/>
      <c r="F505" s="39"/>
      <c r="G505" s="39"/>
      <c r="H505" s="41"/>
      <c r="I505" s="40"/>
      <c r="J505" s="41"/>
      <c r="K505" s="40"/>
      <c r="L505" s="41">
        <f>SUM(AR492:AR508)+SUM(AS492:AS508)+SUM(AT492:AT508)+SUM(AU492:AU508)+SUM(AV492:AV508)</f>
        <v>183.84</v>
      </c>
    </row>
    <row r="506" spans="1:83" ht="28.5" x14ac:dyDescent="0.2">
      <c r="A506" s="37"/>
      <c r="B506" s="37" t="s">
        <v>228</v>
      </c>
      <c r="C506" s="37" t="s">
        <v>910</v>
      </c>
      <c r="D506" s="38" t="s">
        <v>669</v>
      </c>
      <c r="E506" s="39">
        <f>Source!BZ125</f>
        <v>97</v>
      </c>
      <c r="F506" s="39"/>
      <c r="G506" s="39">
        <f>Source!AT125</f>
        <v>97</v>
      </c>
      <c r="H506" s="41"/>
      <c r="I506" s="40"/>
      <c r="J506" s="41"/>
      <c r="K506" s="40"/>
      <c r="L506" s="41">
        <f>SUM(AZ492:AZ508)</f>
        <v>178.32</v>
      </c>
    </row>
    <row r="507" spans="1:83" ht="28.5" x14ac:dyDescent="0.2">
      <c r="A507" s="45"/>
      <c r="B507" s="45" t="s">
        <v>229</v>
      </c>
      <c r="C507" s="45" t="s">
        <v>911</v>
      </c>
      <c r="D507" s="46" t="s">
        <v>669</v>
      </c>
      <c r="E507" s="47">
        <f>Source!CA125</f>
        <v>51</v>
      </c>
      <c r="F507" s="47"/>
      <c r="G507" s="47">
        <f>Source!AU125</f>
        <v>51</v>
      </c>
      <c r="H507" s="48"/>
      <c r="I507" s="49"/>
      <c r="J507" s="48"/>
      <c r="K507" s="49"/>
      <c r="L507" s="48">
        <f>SUM(BA492:BA508)</f>
        <v>93.76</v>
      </c>
    </row>
    <row r="508" spans="1:83" ht="15" x14ac:dyDescent="0.2">
      <c r="C508" s="112" t="s">
        <v>845</v>
      </c>
      <c r="D508" s="112"/>
      <c r="E508" s="112"/>
      <c r="F508" s="112"/>
      <c r="G508" s="112"/>
      <c r="H508" s="112"/>
      <c r="I508" s="113">
        <f>K508/E492</f>
        <v>156.44333333333333</v>
      </c>
      <c r="J508" s="113"/>
      <c r="K508" s="113">
        <f>L494+L496+L502+L506+L507+L497</f>
        <v>469.33</v>
      </c>
      <c r="L508" s="113"/>
      <c r="AD508">
        <f>ROUND((Source!AT125/100)*((ROUND(SUMIF(SmtRes!AQ177:'SmtRes'!AQ181,"=1",SmtRes!AD177:'SmtRes'!AD181)*Source!I125, 2)+ROUND(SUMIF(SmtRes!AQ177:'SmtRes'!AQ181,"=1",SmtRes!AC177:'SmtRes'!AC181)*Source!I125, 2))), 2)</f>
        <v>4772.5200000000004</v>
      </c>
      <c r="AE508">
        <f>ROUND((Source!AU125/100)*((ROUND(SUMIF(SmtRes!AQ177:'SmtRes'!AQ181,"=1",SmtRes!AD177:'SmtRes'!AD181)*Source!I125, 2)+ROUND(SUMIF(SmtRes!AQ177:'SmtRes'!AQ181,"=1",SmtRes!AC177:'SmtRes'!AC181)*Source!I125, 2))), 2)</f>
        <v>2509.2600000000002</v>
      </c>
      <c r="AN508" s="50">
        <f>L494+L496+L502+L506+L507+L497</f>
        <v>469.33</v>
      </c>
      <c r="AO508" s="50">
        <f>L496</f>
        <v>13.409999999999997</v>
      </c>
      <c r="AQ508" t="s">
        <v>846</v>
      </c>
      <c r="AR508" s="50">
        <f>L494</f>
        <v>176.6</v>
      </c>
      <c r="AT508" s="50">
        <f>L497</f>
        <v>7.24</v>
      </c>
      <c r="AV508" t="s">
        <v>846</v>
      </c>
      <c r="AW508" s="50">
        <f>L502</f>
        <v>0</v>
      </c>
      <c r="AZ508">
        <f>Source!X125</f>
        <v>178.32</v>
      </c>
      <c r="BA508">
        <f>Source!Y125</f>
        <v>93.76</v>
      </c>
      <c r="CD508">
        <v>2</v>
      </c>
    </row>
    <row r="509" spans="1:83" ht="28.5" x14ac:dyDescent="0.2">
      <c r="A509" s="35" t="s">
        <v>252</v>
      </c>
      <c r="B509" s="37" t="s">
        <v>918</v>
      </c>
      <c r="C509" s="37" t="str">
        <f>Source!G126</f>
        <v>Демонтаж: Заземлитель вертикальный из угловой стали размером: 63х63х6 мм</v>
      </c>
      <c r="D509" s="38" t="str">
        <f>Source!H126</f>
        <v>10 ШТ</v>
      </c>
      <c r="E509" s="39">
        <f>Source!K126</f>
        <v>0.8</v>
      </c>
      <c r="F509" s="39"/>
      <c r="G509" s="39">
        <f>Source!I126</f>
        <v>0.8</v>
      </c>
      <c r="H509" s="41"/>
      <c r="I509" s="40"/>
      <c r="J509" s="41"/>
      <c r="K509" s="40"/>
      <c r="L509" s="41"/>
    </row>
    <row r="510" spans="1:83" ht="25.5" x14ac:dyDescent="0.2">
      <c r="B510" s="42" t="s">
        <v>784</v>
      </c>
      <c r="C510" s="110" t="s">
        <v>909</v>
      </c>
      <c r="D510" s="110"/>
      <c r="E510" s="110"/>
      <c r="F510" s="110"/>
      <c r="G510" s="110"/>
      <c r="H510" s="110"/>
      <c r="I510" s="110"/>
      <c r="J510" s="110"/>
      <c r="K510" s="110"/>
      <c r="L510" s="110"/>
    </row>
    <row r="511" spans="1:83" x14ac:dyDescent="0.2">
      <c r="C511" s="58" t="str">
        <f>"Объем: "&amp;Source!I126&amp;"=8/"&amp;"10"</f>
        <v>Объем: 0,8=8/10</v>
      </c>
    </row>
    <row r="512" spans="1:83" ht="15" x14ac:dyDescent="0.2">
      <c r="A512" s="36"/>
      <c r="B512" s="39">
        <v>1</v>
      </c>
      <c r="C512" s="36" t="s">
        <v>835</v>
      </c>
      <c r="D512" s="38" t="s">
        <v>509</v>
      </c>
      <c r="E512" s="43"/>
      <c r="F512" s="39"/>
      <c r="G512" s="43">
        <f>Source!U126</f>
        <v>2.472</v>
      </c>
      <c r="H512" s="39"/>
      <c r="I512" s="39"/>
      <c r="J512" s="39"/>
      <c r="K512" s="39"/>
      <c r="L512" s="44">
        <f>SUM(L513:L513)-SUMIF(CE513:CE513, 1, L513:L513)</f>
        <v>1185.47</v>
      </c>
    </row>
    <row r="513" spans="1:83" ht="14.25" x14ac:dyDescent="0.2">
      <c r="A513" s="37"/>
      <c r="B513" s="37" t="s">
        <v>715</v>
      </c>
      <c r="C513" s="37" t="s">
        <v>716</v>
      </c>
      <c r="D513" s="38" t="s">
        <v>509</v>
      </c>
      <c r="E513" s="39">
        <v>10.3</v>
      </c>
      <c r="F513" s="39">
        <f>ROUND(0.3,7)</f>
        <v>0.3</v>
      </c>
      <c r="G513" s="39">
        <f>SmtRes!CX182</f>
        <v>2.472</v>
      </c>
      <c r="H513" s="41"/>
      <c r="I513" s="40"/>
      <c r="J513" s="41">
        <f>SmtRes!CZ182</f>
        <v>479.56</v>
      </c>
      <c r="K513" s="40"/>
      <c r="L513" s="41">
        <f>SmtRes!DI182</f>
        <v>1185.47</v>
      </c>
    </row>
    <row r="514" spans="1:83" ht="15" x14ac:dyDescent="0.2">
      <c r="A514" s="36"/>
      <c r="B514" s="39">
        <v>2</v>
      </c>
      <c r="C514" s="36" t="s">
        <v>836</v>
      </c>
      <c r="D514" s="38"/>
      <c r="E514" s="43"/>
      <c r="F514" s="39"/>
      <c r="G514" s="43"/>
      <c r="H514" s="39"/>
      <c r="I514" s="39"/>
      <c r="J514" s="39"/>
      <c r="K514" s="39"/>
      <c r="L514" s="44">
        <f>SUM(L515:L520)-SUMIF(CE515:CE520, 1, L515:L520)</f>
        <v>147.52999999999997</v>
      </c>
    </row>
    <row r="515" spans="1:83" ht="15" x14ac:dyDescent="0.2">
      <c r="A515" s="36"/>
      <c r="B515" s="39"/>
      <c r="C515" s="36" t="s">
        <v>839</v>
      </c>
      <c r="D515" s="38" t="s">
        <v>509</v>
      </c>
      <c r="E515" s="43"/>
      <c r="F515" s="39"/>
      <c r="G515" s="43">
        <f>Source!V126</f>
        <v>0.12959999999999999</v>
      </c>
      <c r="H515" s="39"/>
      <c r="I515" s="39"/>
      <c r="J515" s="39"/>
      <c r="K515" s="39"/>
      <c r="L515" s="44">
        <f>SUMIF(CE516:CE520, 1, L516:L520)</f>
        <v>74.490000000000009</v>
      </c>
      <c r="CE515">
        <v>1</v>
      </c>
    </row>
    <row r="516" spans="1:83" ht="28.5" x14ac:dyDescent="0.2">
      <c r="A516" s="37"/>
      <c r="B516" s="37" t="s">
        <v>512</v>
      </c>
      <c r="C516" s="37" t="s">
        <v>514</v>
      </c>
      <c r="D516" s="38" t="s">
        <v>515</v>
      </c>
      <c r="E516" s="39">
        <v>0.27</v>
      </c>
      <c r="F516" s="39">
        <f>ROUND(0.3,7)</f>
        <v>0.3</v>
      </c>
      <c r="G516" s="39">
        <f>SmtRes!CX184</f>
        <v>6.4799999999999996E-2</v>
      </c>
      <c r="H516" s="41"/>
      <c r="I516" s="40"/>
      <c r="J516" s="41">
        <f>SmtRes!CZ184</f>
        <v>1551.19</v>
      </c>
      <c r="K516" s="40"/>
      <c r="L516" s="41">
        <f>SmtRes!DG184</f>
        <v>100.52</v>
      </c>
    </row>
    <row r="517" spans="1:83" ht="14.25" x14ac:dyDescent="0.2">
      <c r="A517" s="37"/>
      <c r="B517" s="37" t="s">
        <v>516</v>
      </c>
      <c r="C517" s="37" t="s">
        <v>837</v>
      </c>
      <c r="D517" s="38" t="s">
        <v>509</v>
      </c>
      <c r="E517" s="39">
        <f>SmtRes!DO184*SmtRes!AT184</f>
        <v>0.27</v>
      </c>
      <c r="F517" s="39">
        <f>ROUND(0.3,7)</f>
        <v>0.3</v>
      </c>
      <c r="G517" s="39">
        <f>SmtRes!DO184*SmtRes!CX184</f>
        <v>6.4799999999999996E-2</v>
      </c>
      <c r="H517" s="41"/>
      <c r="I517" s="40"/>
      <c r="J517" s="41">
        <f>ROUND(SmtRes!AG184/SmtRes!DO184, 2)</f>
        <v>658.94</v>
      </c>
      <c r="K517" s="40"/>
      <c r="L517" s="41">
        <f>SmtRes!DH184</f>
        <v>42.7</v>
      </c>
      <c r="CE517">
        <v>1</v>
      </c>
    </row>
    <row r="518" spans="1:83" ht="14.25" x14ac:dyDescent="0.2">
      <c r="A518" s="37"/>
      <c r="B518" s="37" t="s">
        <v>520</v>
      </c>
      <c r="C518" s="37" t="s">
        <v>522</v>
      </c>
      <c r="D518" s="38" t="s">
        <v>515</v>
      </c>
      <c r="E518" s="39">
        <v>0.27</v>
      </c>
      <c r="F518" s="39">
        <f>ROUND(0.3,7)</f>
        <v>0.3</v>
      </c>
      <c r="G518" s="39">
        <f>SmtRes!CX185</f>
        <v>6.4799999999999996E-2</v>
      </c>
      <c r="H518" s="41">
        <f>SmtRes!CZ185</f>
        <v>477.92</v>
      </c>
      <c r="I518" s="40">
        <f>SmtRes!AJ185</f>
        <v>1.21</v>
      </c>
      <c r="J518" s="41">
        <f>ROUND(H518*I518, 2)</f>
        <v>578.28</v>
      </c>
      <c r="K518" s="40"/>
      <c r="L518" s="41">
        <f>SmtRes!DG185</f>
        <v>37.47</v>
      </c>
    </row>
    <row r="519" spans="1:83" ht="14.25" x14ac:dyDescent="0.2">
      <c r="A519" s="37"/>
      <c r="B519" s="37" t="s">
        <v>523</v>
      </c>
      <c r="C519" s="37" t="s">
        <v>838</v>
      </c>
      <c r="D519" s="38" t="s">
        <v>509</v>
      </c>
      <c r="E519" s="39">
        <f>SmtRes!DO185*SmtRes!AT185</f>
        <v>0.27</v>
      </c>
      <c r="F519" s="39">
        <f>ROUND(0.3,7)</f>
        <v>0.3</v>
      </c>
      <c r="G519" s="39">
        <f>SmtRes!DO185*SmtRes!CX185</f>
        <v>6.4799999999999996E-2</v>
      </c>
      <c r="H519" s="41"/>
      <c r="I519" s="40"/>
      <c r="J519" s="41">
        <f>ROUND(SmtRes!AG185/SmtRes!DO185, 2)</f>
        <v>490.55</v>
      </c>
      <c r="K519" s="40"/>
      <c r="L519" s="41">
        <f>SmtRes!DH185</f>
        <v>31.79</v>
      </c>
      <c r="CE519">
        <v>1</v>
      </c>
    </row>
    <row r="520" spans="1:83" ht="28.5" x14ac:dyDescent="0.2">
      <c r="A520" s="37"/>
      <c r="B520" s="37" t="s">
        <v>655</v>
      </c>
      <c r="C520" s="37" t="s">
        <v>657</v>
      </c>
      <c r="D520" s="38" t="s">
        <v>515</v>
      </c>
      <c r="E520" s="39">
        <v>1.51</v>
      </c>
      <c r="F520" s="39">
        <f>ROUND(0.3,7)</f>
        <v>0.3</v>
      </c>
      <c r="G520" s="39">
        <f>SmtRes!CX186</f>
        <v>0.3624</v>
      </c>
      <c r="H520" s="41"/>
      <c r="I520" s="40"/>
      <c r="J520" s="41">
        <f>SmtRes!CZ186</f>
        <v>26.32</v>
      </c>
      <c r="K520" s="40"/>
      <c r="L520" s="41">
        <f>SmtRes!DG186</f>
        <v>9.5399999999999991</v>
      </c>
    </row>
    <row r="521" spans="1:83" ht="15" x14ac:dyDescent="0.2">
      <c r="A521" s="36"/>
      <c r="B521" s="39">
        <v>4</v>
      </c>
      <c r="C521" s="36" t="s">
        <v>840</v>
      </c>
      <c r="D521" s="38"/>
      <c r="E521" s="43"/>
      <c r="F521" s="39"/>
      <c r="G521" s="43"/>
      <c r="H521" s="39"/>
      <c r="I521" s="39"/>
      <c r="J521" s="39"/>
      <c r="K521" s="39"/>
      <c r="L521" s="44">
        <f>SUM(L522:L523)-SUMIF(CE522:CE523, 1, L522:L523)</f>
        <v>0</v>
      </c>
    </row>
    <row r="522" spans="1:83" ht="42.75" x14ac:dyDescent="0.2">
      <c r="A522" s="37"/>
      <c r="B522" s="37" t="s">
        <v>550</v>
      </c>
      <c r="C522" s="37" t="s">
        <v>552</v>
      </c>
      <c r="D522" s="38" t="s">
        <v>549</v>
      </c>
      <c r="E522" s="39">
        <v>0.72</v>
      </c>
      <c r="F522" s="39">
        <f>ROUND(0,7)</f>
        <v>0</v>
      </c>
      <c r="G522" s="39">
        <f>SmtRes!CX187</f>
        <v>0</v>
      </c>
      <c r="H522" s="41">
        <f>SmtRes!CZ187</f>
        <v>155.63</v>
      </c>
      <c r="I522" s="40">
        <f>SmtRes!AI187</f>
        <v>0.95</v>
      </c>
      <c r="J522" s="41">
        <f>ROUND(H522*I522, 2)</f>
        <v>147.85</v>
      </c>
      <c r="K522" s="40"/>
      <c r="L522" s="41">
        <f>SmtRes!DF187</f>
        <v>0</v>
      </c>
    </row>
    <row r="523" spans="1:83" ht="42.75" x14ac:dyDescent="0.2">
      <c r="A523" s="37"/>
      <c r="B523" s="37" t="s">
        <v>717</v>
      </c>
      <c r="C523" s="45" t="s">
        <v>719</v>
      </c>
      <c r="D523" s="46" t="s">
        <v>549</v>
      </c>
      <c r="E523" s="47">
        <v>2.4</v>
      </c>
      <c r="F523" s="47">
        <f>ROUND(0,7)</f>
        <v>0</v>
      </c>
      <c r="G523" s="47">
        <f>SmtRes!CX188</f>
        <v>0</v>
      </c>
      <c r="H523" s="48">
        <f>SmtRes!CZ188</f>
        <v>911.56</v>
      </c>
      <c r="I523" s="49">
        <f>SmtRes!AI188</f>
        <v>1.23</v>
      </c>
      <c r="J523" s="48">
        <f>ROUND(H523*I523, 2)</f>
        <v>1121.22</v>
      </c>
      <c r="K523" s="49"/>
      <c r="L523" s="48">
        <f>SmtRes!DF188</f>
        <v>0</v>
      </c>
    </row>
    <row r="524" spans="1:83" ht="15" x14ac:dyDescent="0.2">
      <c r="A524" s="37"/>
      <c r="B524" s="37"/>
      <c r="C524" s="51" t="s">
        <v>841</v>
      </c>
      <c r="D524" s="38"/>
      <c r="E524" s="39"/>
      <c r="F524" s="39"/>
      <c r="G524" s="39"/>
      <c r="H524" s="41"/>
      <c r="I524" s="40"/>
      <c r="J524" s="41"/>
      <c r="K524" s="40"/>
      <c r="L524" s="41">
        <f>L512+L514+L515+L521</f>
        <v>1407.49</v>
      </c>
    </row>
    <row r="525" spans="1:83" ht="14.25" x14ac:dyDescent="0.2">
      <c r="A525" s="37"/>
      <c r="B525" s="37"/>
      <c r="C525" s="37" t="s">
        <v>842</v>
      </c>
      <c r="D525" s="38"/>
      <c r="E525" s="39"/>
      <c r="F525" s="39"/>
      <c r="G525" s="39"/>
      <c r="H525" s="41"/>
      <c r="I525" s="40"/>
      <c r="J525" s="41"/>
      <c r="K525" s="40"/>
      <c r="L525" s="41">
        <f>SUM(AR509:AR528)+SUM(AS509:AS528)+SUM(AT509:AT528)+SUM(AU509:AU528)+SUM(AV509:AV528)</f>
        <v>1259.96</v>
      </c>
    </row>
    <row r="526" spans="1:83" ht="28.5" x14ac:dyDescent="0.2">
      <c r="A526" s="37"/>
      <c r="B526" s="37" t="s">
        <v>228</v>
      </c>
      <c r="C526" s="37" t="s">
        <v>910</v>
      </c>
      <c r="D526" s="38" t="s">
        <v>669</v>
      </c>
      <c r="E526" s="39">
        <f>Source!BZ126</f>
        <v>97</v>
      </c>
      <c r="F526" s="39"/>
      <c r="G526" s="39">
        <f>Source!AT126</f>
        <v>97</v>
      </c>
      <c r="H526" s="41"/>
      <c r="I526" s="40"/>
      <c r="J526" s="41"/>
      <c r="K526" s="40"/>
      <c r="L526" s="41">
        <f>SUM(AZ509:AZ528)</f>
        <v>1222.1600000000001</v>
      </c>
    </row>
    <row r="527" spans="1:83" ht="28.5" x14ac:dyDescent="0.2">
      <c r="A527" s="45"/>
      <c r="B527" s="45" t="s">
        <v>229</v>
      </c>
      <c r="C527" s="45" t="s">
        <v>911</v>
      </c>
      <c r="D527" s="46" t="s">
        <v>669</v>
      </c>
      <c r="E527" s="47">
        <f>Source!CA126</f>
        <v>51</v>
      </c>
      <c r="F527" s="47"/>
      <c r="G527" s="47">
        <f>Source!AU126</f>
        <v>51</v>
      </c>
      <c r="H527" s="48"/>
      <c r="I527" s="49"/>
      <c r="J527" s="48"/>
      <c r="K527" s="49"/>
      <c r="L527" s="48">
        <f>SUM(BA509:BA528)</f>
        <v>642.58000000000004</v>
      </c>
    </row>
    <row r="528" spans="1:83" ht="15" x14ac:dyDescent="0.2">
      <c r="C528" s="112" t="s">
        <v>845</v>
      </c>
      <c r="D528" s="112"/>
      <c r="E528" s="112"/>
      <c r="F528" s="112"/>
      <c r="G528" s="112"/>
      <c r="H528" s="112"/>
      <c r="I528" s="113">
        <f>K528/E509</f>
        <v>4090.2874999999995</v>
      </c>
      <c r="J528" s="113"/>
      <c r="K528" s="113">
        <f>L512+L514+L521+L526+L527+L515</f>
        <v>3272.2299999999996</v>
      </c>
      <c r="L528" s="113"/>
      <c r="AD528">
        <f>ROUND((Source!AT126/100)*((ROUND(SUMIF(SmtRes!AQ182:'SmtRes'!AQ188,"=1",SmtRes!AD182:'SmtRes'!AD188)*Source!I126, 2)+ROUND(SUMIF(SmtRes!AQ182:'SmtRes'!AQ188,"=1",SmtRes!AC182:'SmtRes'!AC188)*Source!I126, 2))), 2)</f>
        <v>1264.1400000000001</v>
      </c>
      <c r="AE528">
        <f>ROUND((Source!AU126/100)*((ROUND(SUMIF(SmtRes!AQ182:'SmtRes'!AQ188,"=1",SmtRes!AD182:'SmtRes'!AD188)*Source!I126, 2)+ROUND(SUMIF(SmtRes!AQ182:'SmtRes'!AQ188,"=1",SmtRes!AC182:'SmtRes'!AC188)*Source!I126, 2))), 2)</f>
        <v>664.65</v>
      </c>
      <c r="AN528" s="50">
        <f>L512+L514+L521+L526+L527+L515</f>
        <v>3272.2299999999996</v>
      </c>
      <c r="AO528" s="50">
        <f>L514</f>
        <v>147.52999999999997</v>
      </c>
      <c r="AQ528" t="s">
        <v>846</v>
      </c>
      <c r="AR528" s="50">
        <f>L512</f>
        <v>1185.47</v>
      </c>
      <c r="AT528" s="50">
        <f>L515</f>
        <v>74.490000000000009</v>
      </c>
      <c r="AV528" t="s">
        <v>846</v>
      </c>
      <c r="AW528" s="50">
        <f>L521</f>
        <v>0</v>
      </c>
      <c r="AZ528">
        <f>Source!X126</f>
        <v>1222.1600000000001</v>
      </c>
      <c r="BA528">
        <f>Source!Y126</f>
        <v>642.58000000000004</v>
      </c>
      <c r="CD528">
        <v>2</v>
      </c>
    </row>
    <row r="529" spans="1:83" ht="42.75" x14ac:dyDescent="0.2">
      <c r="A529" s="35" t="s">
        <v>257</v>
      </c>
      <c r="B529" s="37" t="s">
        <v>919</v>
      </c>
      <c r="C529" s="37" t="str">
        <f>Source!G127</f>
        <v>Демонтаж: Проводник заземляющий открыто по строительным основаниям: из полосовой стали сечением 160 мм2</v>
      </c>
      <c r="D529" s="38" t="str">
        <f>Source!H127</f>
        <v>100 м</v>
      </c>
      <c r="E529" s="39">
        <f>Source!K127</f>
        <v>0.42</v>
      </c>
      <c r="F529" s="39"/>
      <c r="G529" s="39">
        <f>Source!I127</f>
        <v>0.42</v>
      </c>
      <c r="H529" s="41"/>
      <c r="I529" s="40"/>
      <c r="J529" s="41"/>
      <c r="K529" s="40"/>
      <c r="L529" s="41"/>
    </row>
    <row r="530" spans="1:83" ht="25.5" x14ac:dyDescent="0.2">
      <c r="B530" s="42" t="s">
        <v>784</v>
      </c>
      <c r="C530" s="110" t="s">
        <v>909</v>
      </c>
      <c r="D530" s="110"/>
      <c r="E530" s="110"/>
      <c r="F530" s="110"/>
      <c r="G530" s="110"/>
      <c r="H530" s="110"/>
      <c r="I530" s="110"/>
      <c r="J530" s="110"/>
      <c r="K530" s="110"/>
      <c r="L530" s="110"/>
    </row>
    <row r="531" spans="1:83" x14ac:dyDescent="0.2">
      <c r="C531" s="58" t="str">
        <f>"Объем: "&amp;Source!I127&amp;"=42/"&amp;"100"</f>
        <v>Объем: 0,42=42/100</v>
      </c>
    </row>
    <row r="532" spans="1:83" ht="15" x14ac:dyDescent="0.2">
      <c r="A532" s="36"/>
      <c r="B532" s="39">
        <v>1</v>
      </c>
      <c r="C532" s="36" t="s">
        <v>835</v>
      </c>
      <c r="D532" s="38" t="s">
        <v>509</v>
      </c>
      <c r="E532" s="43"/>
      <c r="F532" s="39"/>
      <c r="G532" s="43">
        <f>Source!U127</f>
        <v>2.331</v>
      </c>
      <c r="H532" s="39"/>
      <c r="I532" s="39"/>
      <c r="J532" s="39"/>
      <c r="K532" s="39"/>
      <c r="L532" s="44">
        <f>SUM(L533:L533)-SUMIF(CE533:CE533, 1, L533:L533)</f>
        <v>1117.8499999999999</v>
      </c>
    </row>
    <row r="533" spans="1:83" ht="14.25" x14ac:dyDescent="0.2">
      <c r="A533" s="37"/>
      <c r="B533" s="37" t="s">
        <v>715</v>
      </c>
      <c r="C533" s="37" t="s">
        <v>716</v>
      </c>
      <c r="D533" s="38" t="s">
        <v>509</v>
      </c>
      <c r="E533" s="39">
        <v>18.5</v>
      </c>
      <c r="F533" s="39">
        <f>ROUND(0.3,7)</f>
        <v>0.3</v>
      </c>
      <c r="G533" s="39">
        <f>SmtRes!CX189</f>
        <v>2.331</v>
      </c>
      <c r="H533" s="41"/>
      <c r="I533" s="40"/>
      <c r="J533" s="41">
        <f>SmtRes!CZ189</f>
        <v>479.56</v>
      </c>
      <c r="K533" s="40"/>
      <c r="L533" s="41">
        <f>SmtRes!DI189</f>
        <v>1117.8499999999999</v>
      </c>
    </row>
    <row r="534" spans="1:83" ht="15" x14ac:dyDescent="0.2">
      <c r="A534" s="36"/>
      <c r="B534" s="39">
        <v>2</v>
      </c>
      <c r="C534" s="36" t="s">
        <v>836</v>
      </c>
      <c r="D534" s="38"/>
      <c r="E534" s="43"/>
      <c r="F534" s="39"/>
      <c r="G534" s="43"/>
      <c r="H534" s="39"/>
      <c r="I534" s="39"/>
      <c r="J534" s="39"/>
      <c r="K534" s="39"/>
      <c r="L534" s="44">
        <f>SUM(L535:L540)-SUMIF(CE535:CE540, 1, L535:L540)</f>
        <v>71.330000000000027</v>
      </c>
    </row>
    <row r="535" spans="1:83" ht="15" x14ac:dyDescent="0.2">
      <c r="A535" s="36"/>
      <c r="B535" s="39"/>
      <c r="C535" s="36" t="s">
        <v>839</v>
      </c>
      <c r="D535" s="38" t="s">
        <v>509</v>
      </c>
      <c r="E535" s="43"/>
      <c r="F535" s="39"/>
      <c r="G535" s="43">
        <f>Source!V127</f>
        <v>5.7959999999999998E-2</v>
      </c>
      <c r="H535" s="39"/>
      <c r="I535" s="39"/>
      <c r="J535" s="39"/>
      <c r="K535" s="39"/>
      <c r="L535" s="44">
        <f>SUMIF(CE536:CE540, 1, L536:L540)</f>
        <v>33.32</v>
      </c>
      <c r="CE535">
        <v>1</v>
      </c>
    </row>
    <row r="536" spans="1:83" ht="28.5" x14ac:dyDescent="0.2">
      <c r="A536" s="37"/>
      <c r="B536" s="37" t="s">
        <v>512</v>
      </c>
      <c r="C536" s="37" t="s">
        <v>514</v>
      </c>
      <c r="D536" s="38" t="s">
        <v>515</v>
      </c>
      <c r="E536" s="39">
        <v>0.23</v>
      </c>
      <c r="F536" s="39">
        <f>ROUND(0.3,7)</f>
        <v>0.3</v>
      </c>
      <c r="G536" s="39">
        <f>SmtRes!CX191</f>
        <v>2.8979999999999999E-2</v>
      </c>
      <c r="H536" s="41"/>
      <c r="I536" s="40"/>
      <c r="J536" s="41">
        <f>SmtRes!CZ191</f>
        <v>1551.19</v>
      </c>
      <c r="K536" s="40"/>
      <c r="L536" s="41">
        <f>SmtRes!DG191</f>
        <v>44.95</v>
      </c>
    </row>
    <row r="537" spans="1:83" ht="14.25" x14ac:dyDescent="0.2">
      <c r="A537" s="37"/>
      <c r="B537" s="37" t="s">
        <v>516</v>
      </c>
      <c r="C537" s="37" t="s">
        <v>837</v>
      </c>
      <c r="D537" s="38" t="s">
        <v>509</v>
      </c>
      <c r="E537" s="39">
        <f>SmtRes!DO191*SmtRes!AT191</f>
        <v>0.23</v>
      </c>
      <c r="F537" s="39">
        <f>ROUND(0.3,7)</f>
        <v>0.3</v>
      </c>
      <c r="G537" s="39">
        <f>SmtRes!DO191*SmtRes!CX191</f>
        <v>2.8979999999999999E-2</v>
      </c>
      <c r="H537" s="41"/>
      <c r="I537" s="40"/>
      <c r="J537" s="41">
        <f>ROUND(SmtRes!AG191/SmtRes!DO191, 2)</f>
        <v>658.94</v>
      </c>
      <c r="K537" s="40"/>
      <c r="L537" s="41">
        <f>SmtRes!DH191</f>
        <v>19.100000000000001</v>
      </c>
      <c r="CE537">
        <v>1</v>
      </c>
    </row>
    <row r="538" spans="1:83" ht="14.25" x14ac:dyDescent="0.2">
      <c r="A538" s="37"/>
      <c r="B538" s="37" t="s">
        <v>520</v>
      </c>
      <c r="C538" s="37" t="s">
        <v>522</v>
      </c>
      <c r="D538" s="38" t="s">
        <v>515</v>
      </c>
      <c r="E538" s="39">
        <v>0.23</v>
      </c>
      <c r="F538" s="39">
        <f>ROUND(0.3,7)</f>
        <v>0.3</v>
      </c>
      <c r="G538" s="39">
        <f>SmtRes!CX192</f>
        <v>2.8979999999999999E-2</v>
      </c>
      <c r="H538" s="41">
        <f>SmtRes!CZ192</f>
        <v>477.92</v>
      </c>
      <c r="I538" s="40">
        <f>SmtRes!AJ192</f>
        <v>1.21</v>
      </c>
      <c r="J538" s="41">
        <f>ROUND(H538*I538, 2)</f>
        <v>578.28</v>
      </c>
      <c r="K538" s="40"/>
      <c r="L538" s="41">
        <f>SmtRes!DG192</f>
        <v>16.760000000000002</v>
      </c>
    </row>
    <row r="539" spans="1:83" ht="14.25" x14ac:dyDescent="0.2">
      <c r="A539" s="37"/>
      <c r="B539" s="37" t="s">
        <v>523</v>
      </c>
      <c r="C539" s="37" t="s">
        <v>838</v>
      </c>
      <c r="D539" s="38" t="s">
        <v>509</v>
      </c>
      <c r="E539" s="39">
        <f>SmtRes!DO192*SmtRes!AT192</f>
        <v>0.23</v>
      </c>
      <c r="F539" s="39">
        <f>ROUND(0.3,7)</f>
        <v>0.3</v>
      </c>
      <c r="G539" s="39">
        <f>SmtRes!DO192*SmtRes!CX192</f>
        <v>2.8979999999999999E-2</v>
      </c>
      <c r="H539" s="41"/>
      <c r="I539" s="40"/>
      <c r="J539" s="41">
        <f>ROUND(SmtRes!AG192/SmtRes!DO192, 2)</f>
        <v>490.55</v>
      </c>
      <c r="K539" s="40"/>
      <c r="L539" s="41">
        <f>SmtRes!DH192</f>
        <v>14.22</v>
      </c>
      <c r="CE539">
        <v>1</v>
      </c>
    </row>
    <row r="540" spans="1:83" ht="28.5" x14ac:dyDescent="0.2">
      <c r="A540" s="37"/>
      <c r="B540" s="37" t="s">
        <v>655</v>
      </c>
      <c r="C540" s="37" t="s">
        <v>657</v>
      </c>
      <c r="D540" s="38" t="s">
        <v>515</v>
      </c>
      <c r="E540" s="39">
        <v>2.9</v>
      </c>
      <c r="F540" s="39">
        <f>ROUND(0.3,7)</f>
        <v>0.3</v>
      </c>
      <c r="G540" s="39">
        <f>SmtRes!CX193</f>
        <v>0.3654</v>
      </c>
      <c r="H540" s="41"/>
      <c r="I540" s="40"/>
      <c r="J540" s="41">
        <f>SmtRes!CZ193</f>
        <v>26.32</v>
      </c>
      <c r="K540" s="40"/>
      <c r="L540" s="41">
        <f>SmtRes!DG193</f>
        <v>9.6199999999999992</v>
      </c>
    </row>
    <row r="541" spans="1:83" ht="15" x14ac:dyDescent="0.2">
      <c r="A541" s="36"/>
      <c r="B541" s="39">
        <v>4</v>
      </c>
      <c r="C541" s="36" t="s">
        <v>840</v>
      </c>
      <c r="D541" s="38"/>
      <c r="E541" s="43"/>
      <c r="F541" s="39"/>
      <c r="G541" s="43"/>
      <c r="H541" s="39"/>
      <c r="I541" s="39"/>
      <c r="J541" s="39"/>
      <c r="K541" s="39"/>
      <c r="L541" s="44">
        <f>SUM(L542:L544)-SUMIF(CE542:CE544, 1, L542:L544)</f>
        <v>0</v>
      </c>
    </row>
    <row r="542" spans="1:83" ht="42.75" x14ac:dyDescent="0.2">
      <c r="A542" s="37"/>
      <c r="B542" s="37" t="s">
        <v>550</v>
      </c>
      <c r="C542" s="37" t="s">
        <v>552</v>
      </c>
      <c r="D542" s="38" t="s">
        <v>549</v>
      </c>
      <c r="E542" s="39">
        <v>1.3</v>
      </c>
      <c r="F542" s="39">
        <f>ROUND(0,7)</f>
        <v>0</v>
      </c>
      <c r="G542" s="39">
        <f>SmtRes!CX194</f>
        <v>0</v>
      </c>
      <c r="H542" s="41">
        <f>SmtRes!CZ194</f>
        <v>155.63</v>
      </c>
      <c r="I542" s="40">
        <f>SmtRes!AI194</f>
        <v>0.95</v>
      </c>
      <c r="J542" s="41">
        <f>ROUND(H542*I542, 2)</f>
        <v>147.85</v>
      </c>
      <c r="K542" s="40"/>
      <c r="L542" s="41">
        <f>SmtRes!DF194</f>
        <v>0</v>
      </c>
    </row>
    <row r="543" spans="1:83" ht="42.75" x14ac:dyDescent="0.2">
      <c r="A543" s="37"/>
      <c r="B543" s="37" t="s">
        <v>720</v>
      </c>
      <c r="C543" s="37" t="s">
        <v>722</v>
      </c>
      <c r="D543" s="38" t="s">
        <v>94</v>
      </c>
      <c r="E543" s="39">
        <v>4.0000000000000001E-3</v>
      </c>
      <c r="F543" s="39">
        <f>ROUND(0,7)</f>
        <v>0</v>
      </c>
      <c r="G543" s="39">
        <f>SmtRes!CX195</f>
        <v>0</v>
      </c>
      <c r="H543" s="41">
        <f>SmtRes!CZ195</f>
        <v>71131.5</v>
      </c>
      <c r="I543" s="40">
        <f>SmtRes!AI195</f>
        <v>0.86</v>
      </c>
      <c r="J543" s="41">
        <f>ROUND(H543*I543, 2)</f>
        <v>61173.09</v>
      </c>
      <c r="K543" s="40"/>
      <c r="L543" s="41">
        <f>SmtRes!DF195</f>
        <v>0</v>
      </c>
    </row>
    <row r="544" spans="1:83" ht="42.75" x14ac:dyDescent="0.2">
      <c r="A544" s="37"/>
      <c r="B544" s="37" t="s">
        <v>717</v>
      </c>
      <c r="C544" s="45" t="s">
        <v>719</v>
      </c>
      <c r="D544" s="46" t="s">
        <v>549</v>
      </c>
      <c r="E544" s="47">
        <v>2.2999999999999998</v>
      </c>
      <c r="F544" s="47">
        <f>ROUND(0,7)</f>
        <v>0</v>
      </c>
      <c r="G544" s="47">
        <f>SmtRes!CX196</f>
        <v>0</v>
      </c>
      <c r="H544" s="48">
        <f>SmtRes!CZ196</f>
        <v>911.56</v>
      </c>
      <c r="I544" s="49">
        <f>SmtRes!AI196</f>
        <v>1.23</v>
      </c>
      <c r="J544" s="48">
        <f>ROUND(H544*I544, 2)</f>
        <v>1121.22</v>
      </c>
      <c r="K544" s="49"/>
      <c r="L544" s="48">
        <f>SmtRes!DF196</f>
        <v>0</v>
      </c>
    </row>
    <row r="545" spans="1:82" ht="15" x14ac:dyDescent="0.2">
      <c r="A545" s="37"/>
      <c r="B545" s="37"/>
      <c r="C545" s="51" t="s">
        <v>841</v>
      </c>
      <c r="D545" s="38"/>
      <c r="E545" s="39"/>
      <c r="F545" s="39"/>
      <c r="G545" s="39"/>
      <c r="H545" s="41"/>
      <c r="I545" s="40"/>
      <c r="J545" s="41"/>
      <c r="K545" s="40"/>
      <c r="L545" s="41">
        <f>L532+L534+L535+L541</f>
        <v>1222.4999999999998</v>
      </c>
    </row>
    <row r="546" spans="1:82" ht="14.25" x14ac:dyDescent="0.2">
      <c r="A546" s="37"/>
      <c r="B546" s="37"/>
      <c r="C546" s="37" t="s">
        <v>842</v>
      </c>
      <c r="D546" s="38"/>
      <c r="E546" s="39"/>
      <c r="F546" s="39"/>
      <c r="G546" s="39"/>
      <c r="H546" s="41"/>
      <c r="I546" s="40"/>
      <c r="J546" s="41"/>
      <c r="K546" s="40"/>
      <c r="L546" s="41">
        <f>SUM(AR529:AR549)+SUM(AS529:AS549)+SUM(AT529:AT549)+SUM(AU529:AU549)+SUM(AV529:AV549)</f>
        <v>1151.1699999999998</v>
      </c>
    </row>
    <row r="547" spans="1:82" ht="28.5" x14ac:dyDescent="0.2">
      <c r="A547" s="37"/>
      <c r="B547" s="37" t="s">
        <v>228</v>
      </c>
      <c r="C547" s="37" t="s">
        <v>910</v>
      </c>
      <c r="D547" s="38" t="s">
        <v>669</v>
      </c>
      <c r="E547" s="39">
        <f>Source!BZ127</f>
        <v>97</v>
      </c>
      <c r="F547" s="39"/>
      <c r="G547" s="39">
        <f>Source!AT127</f>
        <v>97</v>
      </c>
      <c r="H547" s="41"/>
      <c r="I547" s="40"/>
      <c r="J547" s="41"/>
      <c r="K547" s="40"/>
      <c r="L547" s="41">
        <f>SUM(AZ529:AZ549)</f>
        <v>1116.6300000000001</v>
      </c>
    </row>
    <row r="548" spans="1:82" ht="28.5" x14ac:dyDescent="0.2">
      <c r="A548" s="45"/>
      <c r="B548" s="45" t="s">
        <v>229</v>
      </c>
      <c r="C548" s="45" t="s">
        <v>911</v>
      </c>
      <c r="D548" s="46" t="s">
        <v>669</v>
      </c>
      <c r="E548" s="47">
        <f>Source!CA127</f>
        <v>51</v>
      </c>
      <c r="F548" s="47"/>
      <c r="G548" s="47">
        <f>Source!AU127</f>
        <v>51</v>
      </c>
      <c r="H548" s="48"/>
      <c r="I548" s="49"/>
      <c r="J548" s="48"/>
      <c r="K548" s="49"/>
      <c r="L548" s="48">
        <f>SUM(BA529:BA549)</f>
        <v>587.1</v>
      </c>
    </row>
    <row r="549" spans="1:82" ht="15" x14ac:dyDescent="0.2">
      <c r="C549" s="112" t="s">
        <v>845</v>
      </c>
      <c r="D549" s="112"/>
      <c r="E549" s="112"/>
      <c r="F549" s="112"/>
      <c r="G549" s="112"/>
      <c r="H549" s="112"/>
      <c r="I549" s="113">
        <f>K549/E529</f>
        <v>6967.2142857142862</v>
      </c>
      <c r="J549" s="113"/>
      <c r="K549" s="113">
        <f>L532+L534+L541+L547+L548+L535</f>
        <v>2926.23</v>
      </c>
      <c r="L549" s="113"/>
      <c r="AD549">
        <f>ROUND((Source!AT127/100)*((ROUND(SUMIF(SmtRes!AQ189:'SmtRes'!AQ197,"=1",SmtRes!AD189:'SmtRes'!AD197)*Source!I127, 2)+ROUND(SUMIF(SmtRes!AQ189:'SmtRes'!AQ197,"=1",SmtRes!AC189:'SmtRes'!AC197)*Source!I127, 2))), 2)</f>
        <v>663.68</v>
      </c>
      <c r="AE549">
        <f>ROUND((Source!AU127/100)*((ROUND(SUMIF(SmtRes!AQ189:'SmtRes'!AQ197,"=1",SmtRes!AD189:'SmtRes'!AD197)*Source!I127, 2)+ROUND(SUMIF(SmtRes!AQ189:'SmtRes'!AQ197,"=1",SmtRes!AC189:'SmtRes'!AC197)*Source!I127, 2))), 2)</f>
        <v>348.95</v>
      </c>
      <c r="AN549" s="50">
        <f>L532+L534+L541+L547+L548+L535</f>
        <v>2926.23</v>
      </c>
      <c r="AO549" s="50">
        <f>L534</f>
        <v>71.330000000000027</v>
      </c>
      <c r="AQ549" t="s">
        <v>846</v>
      </c>
      <c r="AR549" s="50">
        <f>L532</f>
        <v>1117.8499999999999</v>
      </c>
      <c r="AT549" s="50">
        <f>L535</f>
        <v>33.32</v>
      </c>
      <c r="AV549" t="s">
        <v>846</v>
      </c>
      <c r="AW549" s="50">
        <f>L541</f>
        <v>0</v>
      </c>
      <c r="AZ549">
        <f>Source!X127</f>
        <v>1116.6300000000001</v>
      </c>
      <c r="BA549">
        <f>Source!Y127</f>
        <v>587.1</v>
      </c>
      <c r="CD549">
        <v>2</v>
      </c>
    </row>
    <row r="551" spans="1:82" ht="15" x14ac:dyDescent="0.2">
      <c r="A551" s="59"/>
      <c r="B551" s="60"/>
      <c r="C551" s="117" t="s">
        <v>881</v>
      </c>
      <c r="D551" s="117"/>
      <c r="E551" s="117"/>
      <c r="F551" s="117"/>
      <c r="G551" s="117"/>
      <c r="H551" s="117"/>
      <c r="I551" s="44"/>
      <c r="J551" s="59"/>
      <c r="K551" s="61"/>
      <c r="L551" s="44">
        <f>L553+L554+L560+L564</f>
        <v>17277.120000000003</v>
      </c>
    </row>
    <row r="552" spans="1:82" ht="14.25" x14ac:dyDescent="0.2">
      <c r="A552" s="52"/>
      <c r="B552" s="58"/>
      <c r="C552" s="116" t="s">
        <v>882</v>
      </c>
      <c r="D552" s="115"/>
      <c r="E552" s="115"/>
      <c r="F552" s="115"/>
      <c r="G552" s="115"/>
      <c r="H552" s="115"/>
      <c r="I552" s="41"/>
      <c r="J552" s="52"/>
      <c r="K552" s="39"/>
      <c r="L552" s="41"/>
    </row>
    <row r="553" spans="1:82" ht="14.25" x14ac:dyDescent="0.2">
      <c r="A553" s="52"/>
      <c r="B553" s="58"/>
      <c r="C553" s="115" t="s">
        <v>883</v>
      </c>
      <c r="D553" s="115"/>
      <c r="E553" s="115"/>
      <c r="F553" s="115"/>
      <c r="G553" s="115"/>
      <c r="H553" s="115"/>
      <c r="I553" s="41"/>
      <c r="J553" s="52"/>
      <c r="K553" s="39"/>
      <c r="L553" s="41">
        <f>SUM(AR407:AR549)</f>
        <v>10723.880000000001</v>
      </c>
    </row>
    <row r="554" spans="1:82" ht="14.25" hidden="1" x14ac:dyDescent="0.2">
      <c r="A554" s="52"/>
      <c r="B554" s="58"/>
      <c r="C554" s="115" t="s">
        <v>884</v>
      </c>
      <c r="D554" s="115"/>
      <c r="E554" s="115"/>
      <c r="F554" s="115"/>
      <c r="G554" s="115"/>
      <c r="H554" s="115"/>
      <c r="I554" s="41"/>
      <c r="J554" s="52"/>
      <c r="K554" s="39"/>
      <c r="L554" s="41">
        <f>L556+L559+L558</f>
        <v>6553.24</v>
      </c>
    </row>
    <row r="555" spans="1:82" ht="14.25" hidden="1" x14ac:dyDescent="0.2">
      <c r="A555" s="52"/>
      <c r="B555" s="58"/>
      <c r="C555" s="116" t="s">
        <v>885</v>
      </c>
      <c r="D555" s="115"/>
      <c r="E555" s="115"/>
      <c r="F555" s="115"/>
      <c r="G555" s="115"/>
      <c r="H555" s="115"/>
      <c r="I555" s="41"/>
      <c r="J555" s="52"/>
      <c r="K555" s="39"/>
      <c r="L555" s="41"/>
    </row>
    <row r="556" spans="1:82" ht="14.25" x14ac:dyDescent="0.2">
      <c r="A556" s="52"/>
      <c r="B556" s="58"/>
      <c r="C556" s="115" t="s">
        <v>884</v>
      </c>
      <c r="D556" s="115"/>
      <c r="E556" s="115"/>
      <c r="F556" s="115"/>
      <c r="G556" s="115"/>
      <c r="H556" s="115"/>
      <c r="I556" s="41"/>
      <c r="J556" s="52"/>
      <c r="K556" s="39"/>
      <c r="L556" s="41">
        <f>SUM(AO407:AO549)</f>
        <v>4452.7299999999996</v>
      </c>
    </row>
    <row r="557" spans="1:82" ht="14.25" hidden="1" x14ac:dyDescent="0.2">
      <c r="A557" s="52"/>
      <c r="B557" s="58"/>
      <c r="C557" s="116" t="s">
        <v>886</v>
      </c>
      <c r="D557" s="115"/>
      <c r="E557" s="115"/>
      <c r="F557" s="115"/>
      <c r="G557" s="115"/>
      <c r="H557" s="115"/>
      <c r="I557" s="41"/>
      <c r="J557" s="52"/>
      <c r="K557" s="39"/>
      <c r="L557" s="41"/>
    </row>
    <row r="558" spans="1:82" ht="14.25" x14ac:dyDescent="0.2">
      <c r="A558" s="52"/>
      <c r="B558" s="58"/>
      <c r="C558" s="115" t="s">
        <v>906</v>
      </c>
      <c r="D558" s="115"/>
      <c r="E558" s="115"/>
      <c r="F558" s="115"/>
      <c r="G558" s="115"/>
      <c r="H558" s="115"/>
      <c r="I558" s="41"/>
      <c r="J558" s="52"/>
      <c r="K558" s="39"/>
      <c r="L558" s="41">
        <f>SUM(AT407:AT549)</f>
        <v>2100.5099999999998</v>
      </c>
    </row>
    <row r="559" spans="1:82" ht="14.25" hidden="1" x14ac:dyDescent="0.2">
      <c r="A559" s="52"/>
      <c r="B559" s="58"/>
      <c r="C559" s="115" t="s">
        <v>887</v>
      </c>
      <c r="D559" s="115"/>
      <c r="E559" s="115"/>
      <c r="F559" s="115"/>
      <c r="G559" s="115"/>
      <c r="H559" s="115"/>
      <c r="I559" s="41"/>
      <c r="J559" s="52"/>
      <c r="K559" s="39"/>
      <c r="L559" s="41">
        <f>SUM(AV407:AV549)</f>
        <v>0</v>
      </c>
    </row>
    <row r="560" spans="1:82" ht="14.25" hidden="1" x14ac:dyDescent="0.2">
      <c r="A560" s="52"/>
      <c r="B560" s="58"/>
      <c r="C560" s="115" t="s">
        <v>888</v>
      </c>
      <c r="D560" s="115"/>
      <c r="E560" s="115"/>
      <c r="F560" s="115"/>
      <c r="G560" s="115"/>
      <c r="H560" s="115"/>
      <c r="I560" s="41"/>
      <c r="J560" s="52"/>
      <c r="K560" s="39"/>
      <c r="L560" s="41">
        <f>L562+L563</f>
        <v>0</v>
      </c>
    </row>
    <row r="561" spans="1:12" ht="14.25" hidden="1" x14ac:dyDescent="0.2">
      <c r="A561" s="52"/>
      <c r="B561" s="58"/>
      <c r="C561" s="116" t="s">
        <v>885</v>
      </c>
      <c r="D561" s="115"/>
      <c r="E561" s="115"/>
      <c r="F561" s="115"/>
      <c r="G561" s="115"/>
      <c r="H561" s="115"/>
      <c r="I561" s="41"/>
      <c r="J561" s="52"/>
      <c r="K561" s="39"/>
      <c r="L561" s="41"/>
    </row>
    <row r="562" spans="1:12" ht="14.25" hidden="1" x14ac:dyDescent="0.2">
      <c r="A562" s="52"/>
      <c r="B562" s="58"/>
      <c r="C562" s="115" t="s">
        <v>889</v>
      </c>
      <c r="D562" s="115"/>
      <c r="E562" s="115"/>
      <c r="F562" s="115"/>
      <c r="G562" s="115"/>
      <c r="H562" s="115"/>
      <c r="I562" s="41"/>
      <c r="J562" s="52"/>
      <c r="K562" s="39"/>
      <c r="L562" s="41">
        <f>SUM(AW407:AW549)-SUM(BK407:BK549)</f>
        <v>0</v>
      </c>
    </row>
    <row r="563" spans="1:12" ht="14.25" hidden="1" x14ac:dyDescent="0.2">
      <c r="A563" s="52"/>
      <c r="B563" s="58"/>
      <c r="C563" s="115" t="s">
        <v>890</v>
      </c>
      <c r="D563" s="115"/>
      <c r="E563" s="115"/>
      <c r="F563" s="115"/>
      <c r="G563" s="115"/>
      <c r="H563" s="115"/>
      <c r="I563" s="41"/>
      <c r="J563" s="52"/>
      <c r="K563" s="39"/>
      <c r="L563" s="41">
        <f>SUM(BC407:BC549)</f>
        <v>0</v>
      </c>
    </row>
    <row r="564" spans="1:12" ht="14.25" hidden="1" x14ac:dyDescent="0.2">
      <c r="A564" s="52"/>
      <c r="B564" s="58"/>
      <c r="C564" s="115" t="s">
        <v>891</v>
      </c>
      <c r="D564" s="115"/>
      <c r="E564" s="115"/>
      <c r="F564" s="115"/>
      <c r="G564" s="115"/>
      <c r="H564" s="115"/>
      <c r="I564" s="41"/>
      <c r="J564" s="52"/>
      <c r="K564" s="39"/>
      <c r="L564" s="41">
        <f>SUM(BB407:BB549)</f>
        <v>0</v>
      </c>
    </row>
    <row r="565" spans="1:12" ht="14.25" x14ac:dyDescent="0.2">
      <c r="A565" s="52"/>
      <c r="B565" s="58"/>
      <c r="C565" s="115" t="s">
        <v>892</v>
      </c>
      <c r="D565" s="115"/>
      <c r="E565" s="115"/>
      <c r="F565" s="115"/>
      <c r="G565" s="115"/>
      <c r="H565" s="115"/>
      <c r="I565" s="41"/>
      <c r="J565" s="52"/>
      <c r="K565" s="39"/>
      <c r="L565" s="41">
        <f>SUM(AR407:AR549)+SUM(AT407:AT549)+SUM(AV407:AV549)</f>
        <v>12824.390000000001</v>
      </c>
    </row>
    <row r="566" spans="1:12" ht="14.25" x14ac:dyDescent="0.2">
      <c r="A566" s="52"/>
      <c r="B566" s="58"/>
      <c r="C566" s="115" t="s">
        <v>893</v>
      </c>
      <c r="D566" s="115"/>
      <c r="E566" s="115"/>
      <c r="F566" s="115"/>
      <c r="G566" s="115"/>
      <c r="H566" s="115"/>
      <c r="I566" s="41"/>
      <c r="J566" s="52"/>
      <c r="K566" s="39"/>
      <c r="L566" s="41">
        <f>SUM(AZ407:AZ549)</f>
        <v>12527.690000000002</v>
      </c>
    </row>
    <row r="567" spans="1:12" ht="14.25" x14ac:dyDescent="0.2">
      <c r="A567" s="52"/>
      <c r="B567" s="58"/>
      <c r="C567" s="115" t="s">
        <v>894</v>
      </c>
      <c r="D567" s="115"/>
      <c r="E567" s="115"/>
      <c r="F567" s="115"/>
      <c r="G567" s="115"/>
      <c r="H567" s="115"/>
      <c r="I567" s="41"/>
      <c r="J567" s="52"/>
      <c r="K567" s="39"/>
      <c r="L567" s="41">
        <f>SUM(BA407:BA549)</f>
        <v>6672.5300000000007</v>
      </c>
    </row>
    <row r="568" spans="1:12" ht="14.25" hidden="1" x14ac:dyDescent="0.2">
      <c r="A568" s="52"/>
      <c r="B568" s="58"/>
      <c r="C568" s="115" t="s">
        <v>895</v>
      </c>
      <c r="D568" s="115"/>
      <c r="E568" s="115"/>
      <c r="F568" s="115"/>
      <c r="G568" s="115"/>
      <c r="H568" s="115"/>
      <c r="I568" s="41"/>
      <c r="J568" s="52"/>
      <c r="K568" s="39"/>
      <c r="L568" s="41">
        <f>L570+L571</f>
        <v>0</v>
      </c>
    </row>
    <row r="569" spans="1:12" ht="14.25" hidden="1" x14ac:dyDescent="0.2">
      <c r="A569" s="52"/>
      <c r="B569" s="58"/>
      <c r="C569" s="116" t="s">
        <v>882</v>
      </c>
      <c r="D569" s="115"/>
      <c r="E569" s="115"/>
      <c r="F569" s="115"/>
      <c r="G569" s="115"/>
      <c r="H569" s="115"/>
      <c r="I569" s="41"/>
      <c r="J569" s="52"/>
      <c r="K569" s="39"/>
      <c r="L569" s="41"/>
    </row>
    <row r="570" spans="1:12" ht="14.25" hidden="1" x14ac:dyDescent="0.2">
      <c r="A570" s="52"/>
      <c r="B570" s="58"/>
      <c r="C570" s="115" t="s">
        <v>896</v>
      </c>
      <c r="D570" s="115"/>
      <c r="E570" s="115"/>
      <c r="F570" s="115"/>
      <c r="G570" s="115"/>
      <c r="H570" s="115"/>
      <c r="I570" s="41"/>
      <c r="J570" s="52"/>
      <c r="K570" s="39"/>
      <c r="L570" s="41">
        <f>SUM(BK407:BK549)</f>
        <v>0</v>
      </c>
    </row>
    <row r="571" spans="1:12" ht="14.25" hidden="1" x14ac:dyDescent="0.2">
      <c r="A571" s="52"/>
      <c r="B571" s="58"/>
      <c r="C571" s="115" t="s">
        <v>897</v>
      </c>
      <c r="D571" s="115"/>
      <c r="E571" s="115"/>
      <c r="F571" s="115"/>
      <c r="G571" s="115"/>
      <c r="H571" s="115"/>
      <c r="I571" s="41"/>
      <c r="J571" s="52"/>
      <c r="K571" s="39"/>
      <c r="L571" s="41">
        <f>SUM(BD407:BD549)</f>
        <v>0</v>
      </c>
    </row>
    <row r="572" spans="1:12" ht="14.25" hidden="1" x14ac:dyDescent="0.2">
      <c r="A572" s="52"/>
      <c r="B572" s="58"/>
      <c r="C572" s="115" t="s">
        <v>898</v>
      </c>
      <c r="D572" s="115"/>
      <c r="E572" s="115"/>
      <c r="F572" s="115"/>
      <c r="G572" s="115"/>
      <c r="H572" s="115"/>
      <c r="I572" s="41"/>
      <c r="J572" s="52"/>
      <c r="K572" s="39"/>
      <c r="L572" s="41"/>
    </row>
    <row r="573" spans="1:12" ht="14.25" hidden="1" x14ac:dyDescent="0.2">
      <c r="A573" s="52"/>
      <c r="B573" s="58"/>
      <c r="C573" s="115" t="s">
        <v>899</v>
      </c>
      <c r="D573" s="115"/>
      <c r="E573" s="115"/>
      <c r="F573" s="115"/>
      <c r="G573" s="115"/>
      <c r="H573" s="115"/>
      <c r="I573" s="41"/>
      <c r="J573" s="52"/>
      <c r="K573" s="39"/>
      <c r="L573" s="41">
        <f>SUM(BO407:BO549)</f>
        <v>0</v>
      </c>
    </row>
    <row r="574" spans="1:12" ht="15" x14ac:dyDescent="0.2">
      <c r="A574" s="59"/>
      <c r="B574" s="60"/>
      <c r="C574" s="117" t="s">
        <v>900</v>
      </c>
      <c r="D574" s="117"/>
      <c r="E574" s="117"/>
      <c r="F574" s="117"/>
      <c r="G574" s="117"/>
      <c r="H574" s="117"/>
      <c r="I574" s="44"/>
      <c r="J574" s="59"/>
      <c r="K574" s="61"/>
      <c r="L574" s="44">
        <f>L551+L566+L567+L568+L572+L573</f>
        <v>36477.340000000004</v>
      </c>
    </row>
    <row r="575" spans="1:12" ht="14.25" x14ac:dyDescent="0.2">
      <c r="A575" s="52"/>
      <c r="B575" s="58"/>
      <c r="C575" s="116" t="s">
        <v>901</v>
      </c>
      <c r="D575" s="115"/>
      <c r="E575" s="115"/>
      <c r="F575" s="115"/>
      <c r="G575" s="115"/>
      <c r="H575" s="115"/>
      <c r="I575" s="41"/>
      <c r="J575" s="52"/>
      <c r="K575" s="39"/>
      <c r="L575" s="41"/>
    </row>
    <row r="576" spans="1:12" ht="14.25" hidden="1" x14ac:dyDescent="0.2">
      <c r="A576" s="52"/>
      <c r="B576" s="58"/>
      <c r="C576" s="115" t="s">
        <v>902</v>
      </c>
      <c r="D576" s="115"/>
      <c r="E576" s="115"/>
      <c r="F576" s="115"/>
      <c r="G576" s="115"/>
      <c r="H576" s="115"/>
      <c r="I576" s="41"/>
      <c r="J576" s="52"/>
      <c r="K576" s="39"/>
      <c r="L576" s="41">
        <f>SUM(AX407:AX549)</f>
        <v>0</v>
      </c>
    </row>
    <row r="577" spans="1:83" ht="14.25" hidden="1" x14ac:dyDescent="0.2">
      <c r="A577" s="52"/>
      <c r="B577" s="58"/>
      <c r="C577" s="115" t="s">
        <v>903</v>
      </c>
      <c r="D577" s="115"/>
      <c r="E577" s="115"/>
      <c r="F577" s="115"/>
      <c r="G577" s="115"/>
      <c r="H577" s="115"/>
      <c r="I577" s="41"/>
      <c r="J577" s="52"/>
      <c r="K577" s="39"/>
      <c r="L577" s="41">
        <f>SUM(AY407:AY549)</f>
        <v>0</v>
      </c>
    </row>
    <row r="578" spans="1:83" ht="14.25" x14ac:dyDescent="0.2">
      <c r="A578" s="52"/>
      <c r="B578" s="58"/>
      <c r="C578" s="115" t="s">
        <v>904</v>
      </c>
      <c r="D578" s="115"/>
      <c r="E578" s="115"/>
      <c r="F578" s="118"/>
      <c r="G578" s="43">
        <f>Source!F151</f>
        <v>21.873840000000001</v>
      </c>
      <c r="H578" s="52"/>
      <c r="I578" s="52"/>
      <c r="J578" s="52"/>
      <c r="K578" s="52"/>
      <c r="L578" s="52"/>
    </row>
    <row r="579" spans="1:83" ht="14.25" x14ac:dyDescent="0.2">
      <c r="A579" s="52"/>
      <c r="B579" s="58"/>
      <c r="C579" s="115" t="s">
        <v>905</v>
      </c>
      <c r="D579" s="115"/>
      <c r="E579" s="115"/>
      <c r="F579" s="118"/>
      <c r="G579" s="43">
        <f>Source!F152</f>
        <v>3.4168799999999999</v>
      </c>
      <c r="H579" s="52"/>
      <c r="I579" s="52"/>
      <c r="J579" s="52"/>
      <c r="K579" s="52"/>
      <c r="L579" s="52"/>
    </row>
    <row r="582" spans="1:83" ht="16.5" x14ac:dyDescent="0.2">
      <c r="A582" s="114" t="s">
        <v>920</v>
      </c>
      <c r="B582" s="114"/>
      <c r="C582" s="114"/>
      <c r="D582" s="114"/>
      <c r="E582" s="114"/>
      <c r="F582" s="114"/>
      <c r="G582" s="114"/>
      <c r="H582" s="114"/>
      <c r="I582" s="114"/>
      <c r="J582" s="114"/>
      <c r="K582" s="114"/>
      <c r="L582" s="114"/>
    </row>
    <row r="583" spans="1:83" ht="28.5" x14ac:dyDescent="0.2">
      <c r="A583" s="35" t="s">
        <v>262</v>
      </c>
      <c r="B583" s="37" t="s">
        <v>921</v>
      </c>
      <c r="C583" s="37" t="str">
        <f>Source!G163</f>
        <v>Подстанция комплектная трансформаторная напряжением до 10 кВ мощностью: до 1000 кВ·А</v>
      </c>
      <c r="D583" s="38" t="str">
        <f>Source!H163</f>
        <v>ШТ</v>
      </c>
      <c r="E583" s="39">
        <f>Source!K163</f>
        <v>1</v>
      </c>
      <c r="F583" s="39"/>
      <c r="G583" s="39">
        <f>Source!I163</f>
        <v>1</v>
      </c>
      <c r="H583" s="41"/>
      <c r="I583" s="40"/>
      <c r="J583" s="41"/>
      <c r="K583" s="40"/>
      <c r="L583" s="41"/>
    </row>
    <row r="584" spans="1:83" ht="15" x14ac:dyDescent="0.2">
      <c r="A584" s="36"/>
      <c r="B584" s="39">
        <v>1</v>
      </c>
      <c r="C584" s="36" t="s">
        <v>835</v>
      </c>
      <c r="D584" s="38" t="s">
        <v>509</v>
      </c>
      <c r="E584" s="43"/>
      <c r="F584" s="39"/>
      <c r="G584" s="43">
        <f>Source!U163</f>
        <v>38.1</v>
      </c>
      <c r="H584" s="39"/>
      <c r="I584" s="39"/>
      <c r="J584" s="39"/>
      <c r="K584" s="39"/>
      <c r="L584" s="44">
        <f>SUM(L585:L585)-SUMIF(CE585:CE585, 1, L585:L585)</f>
        <v>18689.96</v>
      </c>
    </row>
    <row r="585" spans="1:83" ht="14.25" x14ac:dyDescent="0.2">
      <c r="A585" s="37"/>
      <c r="B585" s="37" t="s">
        <v>653</v>
      </c>
      <c r="C585" s="37" t="s">
        <v>654</v>
      </c>
      <c r="D585" s="38" t="s">
        <v>509</v>
      </c>
      <c r="E585" s="39">
        <v>38.1</v>
      </c>
      <c r="F585" s="39"/>
      <c r="G585" s="39">
        <f>SmtRes!CX198</f>
        <v>38.1</v>
      </c>
      <c r="H585" s="41"/>
      <c r="I585" s="40"/>
      <c r="J585" s="41">
        <f>SmtRes!CZ198</f>
        <v>490.55</v>
      </c>
      <c r="K585" s="40"/>
      <c r="L585" s="41">
        <f>SmtRes!DI198</f>
        <v>18689.96</v>
      </c>
    </row>
    <row r="586" spans="1:83" ht="15" x14ac:dyDescent="0.2">
      <c r="A586" s="36"/>
      <c r="B586" s="39">
        <v>2</v>
      </c>
      <c r="C586" s="36" t="s">
        <v>836</v>
      </c>
      <c r="D586" s="38"/>
      <c r="E586" s="43"/>
      <c r="F586" s="39"/>
      <c r="G586" s="43"/>
      <c r="H586" s="39"/>
      <c r="I586" s="39"/>
      <c r="J586" s="39"/>
      <c r="K586" s="39"/>
      <c r="L586" s="44">
        <f>SUM(L587:L592)-SUMIF(CE587:CE592, 1, L587:L592)</f>
        <v>15265.080000000002</v>
      </c>
    </row>
    <row r="587" spans="1:83" ht="15" x14ac:dyDescent="0.2">
      <c r="A587" s="36"/>
      <c r="B587" s="39"/>
      <c r="C587" s="36" t="s">
        <v>839</v>
      </c>
      <c r="D587" s="38" t="s">
        <v>509</v>
      </c>
      <c r="E587" s="43"/>
      <c r="F587" s="39"/>
      <c r="G587" s="43">
        <f>Source!V163</f>
        <v>11.08</v>
      </c>
      <c r="H587" s="39"/>
      <c r="I587" s="39"/>
      <c r="J587" s="39"/>
      <c r="K587" s="39"/>
      <c r="L587" s="44">
        <f>SUMIF(CE588:CE592, 1, L588:L592)</f>
        <v>6959.23</v>
      </c>
      <c r="CE587">
        <v>1</v>
      </c>
    </row>
    <row r="588" spans="1:83" ht="28.5" x14ac:dyDescent="0.2">
      <c r="A588" s="37"/>
      <c r="B588" s="37" t="s">
        <v>512</v>
      </c>
      <c r="C588" s="37" t="s">
        <v>514</v>
      </c>
      <c r="D588" s="38" t="s">
        <v>515</v>
      </c>
      <c r="E588" s="39">
        <v>9.0500000000000007</v>
      </c>
      <c r="F588" s="39"/>
      <c r="G588" s="39">
        <f>SmtRes!CX200</f>
        <v>9.0500000000000007</v>
      </c>
      <c r="H588" s="41"/>
      <c r="I588" s="40"/>
      <c r="J588" s="41">
        <f>SmtRes!CZ200</f>
        <v>1551.19</v>
      </c>
      <c r="K588" s="40"/>
      <c r="L588" s="41">
        <f>SmtRes!DG200</f>
        <v>14038.27</v>
      </c>
    </row>
    <row r="589" spans="1:83" ht="14.25" x14ac:dyDescent="0.2">
      <c r="A589" s="37"/>
      <c r="B589" s="37" t="s">
        <v>516</v>
      </c>
      <c r="C589" s="37" t="s">
        <v>837</v>
      </c>
      <c r="D589" s="38" t="s">
        <v>509</v>
      </c>
      <c r="E589" s="39">
        <f>SmtRes!DO200*SmtRes!AT200</f>
        <v>9.0500000000000007</v>
      </c>
      <c r="F589" s="39"/>
      <c r="G589" s="39">
        <f>SmtRes!DO200*SmtRes!CX200</f>
        <v>9.0500000000000007</v>
      </c>
      <c r="H589" s="41"/>
      <c r="I589" s="40"/>
      <c r="J589" s="41">
        <f>ROUND(SmtRes!AG200/SmtRes!DO200, 2)</f>
        <v>658.94</v>
      </c>
      <c r="K589" s="40"/>
      <c r="L589" s="41">
        <f>SmtRes!DH200</f>
        <v>5963.41</v>
      </c>
      <c r="CE589">
        <v>1</v>
      </c>
    </row>
    <row r="590" spans="1:83" ht="14.25" x14ac:dyDescent="0.2">
      <c r="A590" s="37"/>
      <c r="B590" s="37" t="s">
        <v>520</v>
      </c>
      <c r="C590" s="37" t="s">
        <v>522</v>
      </c>
      <c r="D590" s="38" t="s">
        <v>515</v>
      </c>
      <c r="E590" s="39">
        <v>2.0299999999999998</v>
      </c>
      <c r="F590" s="39"/>
      <c r="G590" s="39">
        <f>SmtRes!CX201</f>
        <v>2.0299999999999998</v>
      </c>
      <c r="H590" s="41">
        <f>SmtRes!CZ201</f>
        <v>477.92</v>
      </c>
      <c r="I590" s="40">
        <f>SmtRes!AJ201</f>
        <v>1.21</v>
      </c>
      <c r="J590" s="41">
        <f>ROUND(H590*I590, 2)</f>
        <v>578.28</v>
      </c>
      <c r="K590" s="40"/>
      <c r="L590" s="41">
        <f>SmtRes!DG201</f>
        <v>1173.9100000000001</v>
      </c>
    </row>
    <row r="591" spans="1:83" ht="14.25" x14ac:dyDescent="0.2">
      <c r="A591" s="37"/>
      <c r="B591" s="37" t="s">
        <v>523</v>
      </c>
      <c r="C591" s="37" t="s">
        <v>838</v>
      </c>
      <c r="D591" s="38" t="s">
        <v>509</v>
      </c>
      <c r="E591" s="39">
        <f>SmtRes!DO201*SmtRes!AT201</f>
        <v>2.0299999999999998</v>
      </c>
      <c r="F591" s="39"/>
      <c r="G591" s="39">
        <f>SmtRes!DO201*SmtRes!CX201</f>
        <v>2.0299999999999998</v>
      </c>
      <c r="H591" s="41"/>
      <c r="I591" s="40"/>
      <c r="J591" s="41">
        <f>ROUND(SmtRes!AG201/SmtRes!DO201, 2)</f>
        <v>490.55</v>
      </c>
      <c r="K591" s="40"/>
      <c r="L591" s="41">
        <f>SmtRes!DH201</f>
        <v>995.82</v>
      </c>
      <c r="CE591">
        <v>1</v>
      </c>
    </row>
    <row r="592" spans="1:83" ht="28.5" x14ac:dyDescent="0.2">
      <c r="A592" s="37"/>
      <c r="B592" s="37" t="s">
        <v>655</v>
      </c>
      <c r="C592" s="37" t="s">
        <v>657</v>
      </c>
      <c r="D592" s="38" t="s">
        <v>515</v>
      </c>
      <c r="E592" s="39">
        <v>2.0099999999999998</v>
      </c>
      <c r="F592" s="39"/>
      <c r="G592" s="39">
        <f>SmtRes!CX202</f>
        <v>2.0099999999999998</v>
      </c>
      <c r="H592" s="41"/>
      <c r="I592" s="40"/>
      <c r="J592" s="41">
        <f>SmtRes!CZ202</f>
        <v>26.32</v>
      </c>
      <c r="K592" s="40"/>
      <c r="L592" s="41">
        <f>SmtRes!DG202</f>
        <v>52.9</v>
      </c>
    </row>
    <row r="593" spans="1:83" ht="15" x14ac:dyDescent="0.2">
      <c r="A593" s="36"/>
      <c r="B593" s="39">
        <v>4</v>
      </c>
      <c r="C593" s="36" t="s">
        <v>840</v>
      </c>
      <c r="D593" s="38"/>
      <c r="E593" s="43"/>
      <c r="F593" s="39"/>
      <c r="G593" s="43"/>
      <c r="H593" s="39"/>
      <c r="I593" s="39"/>
      <c r="J593" s="39"/>
      <c r="K593" s="39"/>
      <c r="L593" s="44">
        <f>SUM(L594:L597)-SUMIF(CE594:CE597, 1, L594:L597)</f>
        <v>1284.3400000000001</v>
      </c>
    </row>
    <row r="594" spans="1:83" ht="28.5" x14ac:dyDescent="0.2">
      <c r="A594" s="37"/>
      <c r="B594" s="37" t="s">
        <v>658</v>
      </c>
      <c r="C594" s="37" t="s">
        <v>660</v>
      </c>
      <c r="D594" s="38" t="s">
        <v>94</v>
      </c>
      <c r="E594" s="39">
        <v>1.5E-3</v>
      </c>
      <c r="F594" s="39"/>
      <c r="G594" s="39">
        <f>SmtRes!CX203</f>
        <v>1.5E-3</v>
      </c>
      <c r="H594" s="41">
        <f>SmtRes!CZ203</f>
        <v>305052.55</v>
      </c>
      <c r="I594" s="40">
        <f>SmtRes!AI203</f>
        <v>1.2</v>
      </c>
      <c r="J594" s="41">
        <f>ROUND(H594*I594, 2)</f>
        <v>366063.06</v>
      </c>
      <c r="K594" s="40"/>
      <c r="L594" s="41">
        <f>SmtRes!DF203</f>
        <v>549.09</v>
      </c>
    </row>
    <row r="595" spans="1:83" ht="42.75" x14ac:dyDescent="0.2">
      <c r="A595" s="37"/>
      <c r="B595" s="37" t="s">
        <v>550</v>
      </c>
      <c r="C595" s="37" t="s">
        <v>552</v>
      </c>
      <c r="D595" s="38" t="s">
        <v>549</v>
      </c>
      <c r="E595" s="39">
        <v>0.5</v>
      </c>
      <c r="F595" s="39"/>
      <c r="G595" s="39">
        <f>SmtRes!CX204</f>
        <v>0.5</v>
      </c>
      <c r="H595" s="41">
        <f>SmtRes!CZ204</f>
        <v>155.63</v>
      </c>
      <c r="I595" s="40">
        <f>SmtRes!AI204</f>
        <v>0.95</v>
      </c>
      <c r="J595" s="41">
        <f>ROUND(H595*I595, 2)</f>
        <v>147.85</v>
      </c>
      <c r="K595" s="40"/>
      <c r="L595" s="41">
        <f>SmtRes!DF204</f>
        <v>73.930000000000007</v>
      </c>
    </row>
    <row r="596" spans="1:83" ht="28.5" x14ac:dyDescent="0.2">
      <c r="A596" s="37"/>
      <c r="B596" s="37" t="s">
        <v>661</v>
      </c>
      <c r="C596" s="37" t="s">
        <v>663</v>
      </c>
      <c r="D596" s="38" t="s">
        <v>94</v>
      </c>
      <c r="E596" s="39">
        <v>8.9999999999999993E-3</v>
      </c>
      <c r="F596" s="39"/>
      <c r="G596" s="39">
        <f>SmtRes!CX205</f>
        <v>8.9999999999999993E-3</v>
      </c>
      <c r="H596" s="41">
        <f>SmtRes!CZ205</f>
        <v>70310.45</v>
      </c>
      <c r="I596" s="40">
        <f>SmtRes!AI205</f>
        <v>0.88</v>
      </c>
      <c r="J596" s="41">
        <f>ROUND(H596*I596, 2)</f>
        <v>61873.2</v>
      </c>
      <c r="K596" s="40"/>
      <c r="L596" s="41">
        <f>SmtRes!DF205</f>
        <v>556.86</v>
      </c>
    </row>
    <row r="597" spans="1:83" ht="14.25" x14ac:dyDescent="0.2">
      <c r="A597" s="37"/>
      <c r="B597" s="37" t="s">
        <v>664</v>
      </c>
      <c r="C597" s="45" t="s">
        <v>666</v>
      </c>
      <c r="D597" s="46" t="s">
        <v>94</v>
      </c>
      <c r="E597" s="47">
        <v>2.4000000000000001E-4</v>
      </c>
      <c r="F597" s="47"/>
      <c r="G597" s="47">
        <f>SmtRes!CX206</f>
        <v>2.4000000000000001E-4</v>
      </c>
      <c r="H597" s="48">
        <f>SmtRes!CZ206</f>
        <v>254539.74</v>
      </c>
      <c r="I597" s="49">
        <f>SmtRes!AI206</f>
        <v>1.71</v>
      </c>
      <c r="J597" s="48">
        <f>ROUND(H597*I597, 2)</f>
        <v>435262.96</v>
      </c>
      <c r="K597" s="49"/>
      <c r="L597" s="48">
        <f>SmtRes!DF206</f>
        <v>104.46</v>
      </c>
    </row>
    <row r="598" spans="1:83" ht="15" x14ac:dyDescent="0.2">
      <c r="A598" s="37"/>
      <c r="B598" s="37"/>
      <c r="C598" s="51" t="s">
        <v>841</v>
      </c>
      <c r="D598" s="38"/>
      <c r="E598" s="39"/>
      <c r="F598" s="39"/>
      <c r="G598" s="39"/>
      <c r="H598" s="41"/>
      <c r="I598" s="40"/>
      <c r="J598" s="41"/>
      <c r="K598" s="40"/>
      <c r="L598" s="41">
        <f>L584+L586+L587+L593</f>
        <v>42198.61</v>
      </c>
    </row>
    <row r="599" spans="1:83" ht="14.25" x14ac:dyDescent="0.2">
      <c r="A599" s="37"/>
      <c r="B599" s="37"/>
      <c r="C599" s="37" t="s">
        <v>842</v>
      </c>
      <c r="D599" s="38"/>
      <c r="E599" s="39"/>
      <c r="F599" s="39"/>
      <c r="G599" s="39"/>
      <c r="H599" s="41"/>
      <c r="I599" s="40"/>
      <c r="J599" s="41"/>
      <c r="K599" s="40"/>
      <c r="L599" s="41">
        <f>SUM(AR583:AR602)+SUM(AS583:AS602)+SUM(AT583:AT602)+SUM(AU583:AU602)+SUM(AV583:AV602)</f>
        <v>25649.19</v>
      </c>
    </row>
    <row r="600" spans="1:83" ht="28.5" x14ac:dyDescent="0.2">
      <c r="A600" s="37"/>
      <c r="B600" s="37" t="s">
        <v>228</v>
      </c>
      <c r="C600" s="37" t="s">
        <v>910</v>
      </c>
      <c r="D600" s="38" t="s">
        <v>669</v>
      </c>
      <c r="E600" s="39">
        <f>Source!BZ163</f>
        <v>97</v>
      </c>
      <c r="F600" s="39"/>
      <c r="G600" s="39">
        <f>Source!AT163</f>
        <v>97</v>
      </c>
      <c r="H600" s="41"/>
      <c r="I600" s="40"/>
      <c r="J600" s="41"/>
      <c r="K600" s="40"/>
      <c r="L600" s="41">
        <f>SUM(AZ583:AZ602)</f>
        <v>24879.71</v>
      </c>
    </row>
    <row r="601" spans="1:83" ht="28.5" x14ac:dyDescent="0.2">
      <c r="A601" s="45"/>
      <c r="B601" s="45" t="s">
        <v>229</v>
      </c>
      <c r="C601" s="45" t="s">
        <v>911</v>
      </c>
      <c r="D601" s="46" t="s">
        <v>669</v>
      </c>
      <c r="E601" s="47">
        <f>Source!CA163</f>
        <v>51</v>
      </c>
      <c r="F601" s="47"/>
      <c r="G601" s="47">
        <f>Source!AU163</f>
        <v>51</v>
      </c>
      <c r="H601" s="48"/>
      <c r="I601" s="49"/>
      <c r="J601" s="48"/>
      <c r="K601" s="49"/>
      <c r="L601" s="48">
        <f>SUM(BA583:BA602)</f>
        <v>13081.09</v>
      </c>
    </row>
    <row r="602" spans="1:83" ht="15" x14ac:dyDescent="0.2">
      <c r="C602" s="112" t="s">
        <v>845</v>
      </c>
      <c r="D602" s="112"/>
      <c r="E602" s="112"/>
      <c r="F602" s="112"/>
      <c r="G602" s="112"/>
      <c r="H602" s="112"/>
      <c r="I602" s="113">
        <f>K602/E583</f>
        <v>80159.41</v>
      </c>
      <c r="J602" s="113"/>
      <c r="K602" s="113">
        <f>L584+L586+L593+L600+L601+L587</f>
        <v>80159.41</v>
      </c>
      <c r="L602" s="113"/>
      <c r="AD602">
        <f>ROUND((Source!AT163/100)*((ROUND(SUMIF(SmtRes!AQ198:'SmtRes'!AQ206,"=1",SmtRes!AD198:'SmtRes'!AD206)*Source!I163, 2)+ROUND(SUMIF(SmtRes!AQ198:'SmtRes'!AQ206,"=1",SmtRes!AC198:'SmtRes'!AC206)*Source!I163, 2))), 2)</f>
        <v>1590.84</v>
      </c>
      <c r="AE602">
        <f>ROUND((Source!AU163/100)*((ROUND(SUMIF(SmtRes!AQ198:'SmtRes'!AQ206,"=1",SmtRes!AD198:'SmtRes'!AD206)*Source!I163, 2)+ROUND(SUMIF(SmtRes!AQ198:'SmtRes'!AQ206,"=1",SmtRes!AC198:'SmtRes'!AC206)*Source!I163, 2))), 2)</f>
        <v>836.42</v>
      </c>
      <c r="AN602" s="50">
        <f>L584+L586+L593+L600+L601+L587</f>
        <v>80159.41</v>
      </c>
      <c r="AO602" s="50">
        <f>L586</f>
        <v>15265.080000000002</v>
      </c>
      <c r="AQ602" t="s">
        <v>846</v>
      </c>
      <c r="AR602" s="50">
        <f>L584</f>
        <v>18689.96</v>
      </c>
      <c r="AT602" s="50">
        <f>L587</f>
        <v>6959.23</v>
      </c>
      <c r="AV602" t="s">
        <v>846</v>
      </c>
      <c r="AW602" s="50">
        <f>L593</f>
        <v>1284.3400000000001</v>
      </c>
      <c r="AZ602">
        <f>Source!X163</f>
        <v>24879.71</v>
      </c>
      <c r="BA602">
        <f>Source!Y163</f>
        <v>13081.09</v>
      </c>
      <c r="CD602">
        <v>2</v>
      </c>
    </row>
    <row r="603" spans="1:83" ht="28.5" x14ac:dyDescent="0.2">
      <c r="A603" s="35" t="s">
        <v>266</v>
      </c>
      <c r="B603" s="37" t="s">
        <v>912</v>
      </c>
      <c r="C603" s="37" t="str">
        <f>Source!G164</f>
        <v>Трансформатор силовой, масляный, масса: до 1 т</v>
      </c>
      <c r="D603" s="38" t="str">
        <f>Source!H164</f>
        <v>ШТ</v>
      </c>
      <c r="E603" s="39">
        <f>Source!K164</f>
        <v>1</v>
      </c>
      <c r="F603" s="39"/>
      <c r="G603" s="39">
        <f>Source!I164</f>
        <v>1</v>
      </c>
      <c r="H603" s="41"/>
      <c r="I603" s="40"/>
      <c r="J603" s="41"/>
      <c r="K603" s="40"/>
      <c r="L603" s="41"/>
    </row>
    <row r="604" spans="1:83" ht="15" x14ac:dyDescent="0.2">
      <c r="A604" s="36"/>
      <c r="B604" s="39">
        <v>1</v>
      </c>
      <c r="C604" s="36" t="s">
        <v>835</v>
      </c>
      <c r="D604" s="38" t="s">
        <v>509</v>
      </c>
      <c r="E604" s="43"/>
      <c r="F604" s="39"/>
      <c r="G604" s="43">
        <f>Source!U164</f>
        <v>19.7</v>
      </c>
      <c r="H604" s="39"/>
      <c r="I604" s="39"/>
      <c r="J604" s="39"/>
      <c r="K604" s="39"/>
      <c r="L604" s="44">
        <f>SUM(L605:L605)-SUMIF(CE605:CE605, 1, L605:L605)</f>
        <v>9663.84</v>
      </c>
    </row>
    <row r="605" spans="1:83" ht="14.25" x14ac:dyDescent="0.2">
      <c r="A605" s="37"/>
      <c r="B605" s="37" t="s">
        <v>653</v>
      </c>
      <c r="C605" s="37" t="s">
        <v>654</v>
      </c>
      <c r="D605" s="38" t="s">
        <v>509</v>
      </c>
      <c r="E605" s="39">
        <v>19.7</v>
      </c>
      <c r="F605" s="39"/>
      <c r="G605" s="39">
        <f>SmtRes!CX207</f>
        <v>19.7</v>
      </c>
      <c r="H605" s="41"/>
      <c r="I605" s="40"/>
      <c r="J605" s="41">
        <f>SmtRes!CZ207</f>
        <v>490.55</v>
      </c>
      <c r="K605" s="40"/>
      <c r="L605" s="41">
        <f>SmtRes!DI207</f>
        <v>9663.84</v>
      </c>
    </row>
    <row r="606" spans="1:83" ht="15" x14ac:dyDescent="0.2">
      <c r="A606" s="36"/>
      <c r="B606" s="39">
        <v>2</v>
      </c>
      <c r="C606" s="36" t="s">
        <v>836</v>
      </c>
      <c r="D606" s="38"/>
      <c r="E606" s="43"/>
      <c r="F606" s="39"/>
      <c r="G606" s="43"/>
      <c r="H606" s="39"/>
      <c r="I606" s="39"/>
      <c r="J606" s="39"/>
      <c r="K606" s="39"/>
      <c r="L606" s="44">
        <f>SUM(L607:L611)-SUMIF(CE607:CE611, 1, L607:L611)</f>
        <v>1962.7799999999997</v>
      </c>
    </row>
    <row r="607" spans="1:83" ht="15" x14ac:dyDescent="0.2">
      <c r="A607" s="36"/>
      <c r="B607" s="39"/>
      <c r="C607" s="36" t="s">
        <v>839</v>
      </c>
      <c r="D607" s="38" t="s">
        <v>509</v>
      </c>
      <c r="E607" s="43"/>
      <c r="F607" s="39"/>
      <c r="G607" s="43">
        <f>Source!V164</f>
        <v>1.88</v>
      </c>
      <c r="H607" s="39"/>
      <c r="I607" s="39"/>
      <c r="J607" s="39"/>
      <c r="K607" s="39"/>
      <c r="L607" s="44">
        <f>SUMIF(CE608:CE611, 1, L608:L611)</f>
        <v>1073.79</v>
      </c>
      <c r="CE607">
        <v>1</v>
      </c>
    </row>
    <row r="608" spans="1:83" ht="28.5" x14ac:dyDescent="0.2">
      <c r="A608" s="37"/>
      <c r="B608" s="37" t="s">
        <v>512</v>
      </c>
      <c r="C608" s="37" t="s">
        <v>514</v>
      </c>
      <c r="D608" s="38" t="s">
        <v>515</v>
      </c>
      <c r="E608" s="39">
        <v>0.9</v>
      </c>
      <c r="F608" s="39"/>
      <c r="G608" s="39">
        <f>SmtRes!CX209</f>
        <v>0.9</v>
      </c>
      <c r="H608" s="41"/>
      <c r="I608" s="40"/>
      <c r="J608" s="41">
        <f>SmtRes!CZ209</f>
        <v>1551.19</v>
      </c>
      <c r="K608" s="40"/>
      <c r="L608" s="41">
        <f>SmtRes!DG209</f>
        <v>1396.07</v>
      </c>
    </row>
    <row r="609" spans="1:83" ht="14.25" x14ac:dyDescent="0.2">
      <c r="A609" s="37"/>
      <c r="B609" s="37" t="s">
        <v>516</v>
      </c>
      <c r="C609" s="37" t="s">
        <v>837</v>
      </c>
      <c r="D609" s="38" t="s">
        <v>509</v>
      </c>
      <c r="E609" s="39">
        <f>SmtRes!DO209*SmtRes!AT209</f>
        <v>0.9</v>
      </c>
      <c r="F609" s="39"/>
      <c r="G609" s="39">
        <f>SmtRes!DO209*SmtRes!CX209</f>
        <v>0.9</v>
      </c>
      <c r="H609" s="41"/>
      <c r="I609" s="40"/>
      <c r="J609" s="41">
        <f>ROUND(SmtRes!AG209/SmtRes!DO209, 2)</f>
        <v>658.94</v>
      </c>
      <c r="K609" s="40"/>
      <c r="L609" s="41">
        <f>SmtRes!DH209</f>
        <v>593.04999999999995</v>
      </c>
      <c r="CE609">
        <v>1</v>
      </c>
    </row>
    <row r="610" spans="1:83" ht="14.25" x14ac:dyDescent="0.2">
      <c r="A610" s="37"/>
      <c r="B610" s="37" t="s">
        <v>520</v>
      </c>
      <c r="C610" s="37" t="s">
        <v>522</v>
      </c>
      <c r="D610" s="38" t="s">
        <v>515</v>
      </c>
      <c r="E610" s="39">
        <v>0.98</v>
      </c>
      <c r="F610" s="39"/>
      <c r="G610" s="39">
        <f>SmtRes!CX210</f>
        <v>0.98</v>
      </c>
      <c r="H610" s="41">
        <f>SmtRes!CZ210</f>
        <v>477.92</v>
      </c>
      <c r="I610" s="40">
        <f>SmtRes!AJ210</f>
        <v>1.21</v>
      </c>
      <c r="J610" s="41">
        <f>ROUND(H610*I610, 2)</f>
        <v>578.28</v>
      </c>
      <c r="K610" s="40"/>
      <c r="L610" s="41">
        <f>SmtRes!DG210</f>
        <v>566.71</v>
      </c>
    </row>
    <row r="611" spans="1:83" ht="14.25" x14ac:dyDescent="0.2">
      <c r="A611" s="37"/>
      <c r="B611" s="37" t="s">
        <v>523</v>
      </c>
      <c r="C611" s="37" t="s">
        <v>838</v>
      </c>
      <c r="D611" s="38" t="s">
        <v>509</v>
      </c>
      <c r="E611" s="39">
        <f>SmtRes!DO210*SmtRes!AT210</f>
        <v>0.98</v>
      </c>
      <c r="F611" s="39"/>
      <c r="G611" s="39">
        <f>SmtRes!DO210*SmtRes!CX210</f>
        <v>0.98</v>
      </c>
      <c r="H611" s="41"/>
      <c r="I611" s="40"/>
      <c r="J611" s="41">
        <f>ROUND(SmtRes!AG210/SmtRes!DO210, 2)</f>
        <v>490.55</v>
      </c>
      <c r="K611" s="40"/>
      <c r="L611" s="41">
        <f>SmtRes!DH210</f>
        <v>480.74</v>
      </c>
      <c r="CE611">
        <v>1</v>
      </c>
    </row>
    <row r="612" spans="1:83" ht="15" x14ac:dyDescent="0.2">
      <c r="A612" s="36"/>
      <c r="B612" s="39">
        <v>4</v>
      </c>
      <c r="C612" s="36" t="s">
        <v>840</v>
      </c>
      <c r="D612" s="38"/>
      <c r="E612" s="43"/>
      <c r="F612" s="39"/>
      <c r="G612" s="43"/>
      <c r="H612" s="39"/>
      <c r="I612" s="39"/>
      <c r="J612" s="39"/>
      <c r="K612" s="39"/>
      <c r="L612" s="44">
        <f>SUM(L613:L614)-SUMIF(CE613:CE614, 1, L613:L614)</f>
        <v>8557.84</v>
      </c>
    </row>
    <row r="613" spans="1:83" ht="14.25" x14ac:dyDescent="0.2">
      <c r="A613" s="37"/>
      <c r="B613" s="37" t="s">
        <v>670</v>
      </c>
      <c r="C613" s="37" t="s">
        <v>672</v>
      </c>
      <c r="D613" s="38" t="s">
        <v>549</v>
      </c>
      <c r="E613" s="39">
        <v>7</v>
      </c>
      <c r="F613" s="39"/>
      <c r="G613" s="39">
        <f>SmtRes!CX211</f>
        <v>7</v>
      </c>
      <c r="H613" s="41">
        <f>SmtRes!CZ211</f>
        <v>176.2</v>
      </c>
      <c r="I613" s="40">
        <f>SmtRes!AI211</f>
        <v>1.39</v>
      </c>
      <c r="J613" s="41">
        <f>ROUND(H613*I613, 2)</f>
        <v>244.92</v>
      </c>
      <c r="K613" s="40"/>
      <c r="L613" s="41">
        <f>SmtRes!DF211</f>
        <v>1714.44</v>
      </c>
    </row>
    <row r="614" spans="1:83" ht="42.75" x14ac:dyDescent="0.2">
      <c r="A614" s="37"/>
      <c r="B614" s="37" t="s">
        <v>673</v>
      </c>
      <c r="C614" s="45" t="s">
        <v>675</v>
      </c>
      <c r="D614" s="46" t="s">
        <v>220</v>
      </c>
      <c r="E614" s="47">
        <v>10</v>
      </c>
      <c r="F614" s="47"/>
      <c r="G614" s="47">
        <f>SmtRes!CX212</f>
        <v>10</v>
      </c>
      <c r="H614" s="48">
        <f>SmtRes!CZ212</f>
        <v>705.5</v>
      </c>
      <c r="I614" s="49">
        <f>SmtRes!AI212</f>
        <v>0.97</v>
      </c>
      <c r="J614" s="48">
        <f>ROUND(H614*I614, 2)</f>
        <v>684.34</v>
      </c>
      <c r="K614" s="49"/>
      <c r="L614" s="48">
        <f>SmtRes!DF212</f>
        <v>6843.4</v>
      </c>
    </row>
    <row r="615" spans="1:83" ht="15" x14ac:dyDescent="0.2">
      <c r="A615" s="37"/>
      <c r="B615" s="37"/>
      <c r="C615" s="51" t="s">
        <v>841</v>
      </c>
      <c r="D615" s="38"/>
      <c r="E615" s="39"/>
      <c r="F615" s="39"/>
      <c r="G615" s="39"/>
      <c r="H615" s="41"/>
      <c r="I615" s="40"/>
      <c r="J615" s="41"/>
      <c r="K615" s="40"/>
      <c r="L615" s="41">
        <f>L604+L606+L607+L612</f>
        <v>21258.25</v>
      </c>
    </row>
    <row r="616" spans="1:83" ht="14.25" x14ac:dyDescent="0.2">
      <c r="A616" s="37"/>
      <c r="B616" s="37"/>
      <c r="C616" s="37" t="s">
        <v>842</v>
      </c>
      <c r="D616" s="38"/>
      <c r="E616" s="39"/>
      <c r="F616" s="39"/>
      <c r="G616" s="39"/>
      <c r="H616" s="41"/>
      <c r="I616" s="40"/>
      <c r="J616" s="41"/>
      <c r="K616" s="40"/>
      <c r="L616" s="41">
        <f>SUM(AR603:AR619)+SUM(AS603:AS619)+SUM(AT603:AT619)+SUM(AU603:AU619)+SUM(AV603:AV619)</f>
        <v>10737.630000000001</v>
      </c>
    </row>
    <row r="617" spans="1:83" ht="28.5" x14ac:dyDescent="0.2">
      <c r="A617" s="37"/>
      <c r="B617" s="37" t="s">
        <v>228</v>
      </c>
      <c r="C617" s="37" t="s">
        <v>910</v>
      </c>
      <c r="D617" s="38" t="s">
        <v>669</v>
      </c>
      <c r="E617" s="39">
        <f>Source!BZ164</f>
        <v>97</v>
      </c>
      <c r="F617" s="39"/>
      <c r="G617" s="39">
        <f>Source!AT164</f>
        <v>97</v>
      </c>
      <c r="H617" s="41"/>
      <c r="I617" s="40"/>
      <c r="J617" s="41"/>
      <c r="K617" s="40"/>
      <c r="L617" s="41">
        <f>SUM(AZ603:AZ619)</f>
        <v>10415.5</v>
      </c>
    </row>
    <row r="618" spans="1:83" ht="28.5" x14ac:dyDescent="0.2">
      <c r="A618" s="45"/>
      <c r="B618" s="45" t="s">
        <v>229</v>
      </c>
      <c r="C618" s="45" t="s">
        <v>911</v>
      </c>
      <c r="D618" s="46" t="s">
        <v>669</v>
      </c>
      <c r="E618" s="47">
        <f>Source!CA164</f>
        <v>51</v>
      </c>
      <c r="F618" s="47"/>
      <c r="G618" s="47">
        <f>Source!AU164</f>
        <v>51</v>
      </c>
      <c r="H618" s="48"/>
      <c r="I618" s="49"/>
      <c r="J618" s="48"/>
      <c r="K618" s="49"/>
      <c r="L618" s="48">
        <f>SUM(BA603:BA619)</f>
        <v>5476.19</v>
      </c>
    </row>
    <row r="619" spans="1:83" ht="15" x14ac:dyDescent="0.2">
      <c r="C619" s="112" t="s">
        <v>845</v>
      </c>
      <c r="D619" s="112"/>
      <c r="E619" s="112"/>
      <c r="F619" s="112"/>
      <c r="G619" s="112"/>
      <c r="H619" s="112"/>
      <c r="I619" s="113">
        <f>K619/E603</f>
        <v>37149.94</v>
      </c>
      <c r="J619" s="113"/>
      <c r="K619" s="113">
        <f>L604+L606+L612+L617+L618+L607</f>
        <v>37149.94</v>
      </c>
      <c r="L619" s="113"/>
      <c r="AD619">
        <f>ROUND((Source!AT164/100)*((ROUND(SUMIF(SmtRes!AQ207:'SmtRes'!AQ212,"=1",SmtRes!AD207:'SmtRes'!AD212)*Source!I164, 2)+ROUND(SUMIF(SmtRes!AQ207:'SmtRes'!AQ212,"=1",SmtRes!AC207:'SmtRes'!AC212)*Source!I164, 2))), 2)</f>
        <v>1590.84</v>
      </c>
      <c r="AE619">
        <f>ROUND((Source!AU164/100)*((ROUND(SUMIF(SmtRes!AQ207:'SmtRes'!AQ212,"=1",SmtRes!AD207:'SmtRes'!AD212)*Source!I164, 2)+ROUND(SUMIF(SmtRes!AQ207:'SmtRes'!AQ212,"=1",SmtRes!AC207:'SmtRes'!AC212)*Source!I164, 2))), 2)</f>
        <v>836.42</v>
      </c>
      <c r="AN619" s="50">
        <f>L604+L606+L612+L617+L618+L607</f>
        <v>37149.94</v>
      </c>
      <c r="AO619" s="50">
        <f>L606</f>
        <v>1962.7799999999997</v>
      </c>
      <c r="AQ619" t="s">
        <v>846</v>
      </c>
      <c r="AR619" s="50">
        <f>L604</f>
        <v>9663.84</v>
      </c>
      <c r="AT619" s="50">
        <f>L607</f>
        <v>1073.79</v>
      </c>
      <c r="AV619" t="s">
        <v>846</v>
      </c>
      <c r="AW619" s="50">
        <f>L612</f>
        <v>8557.84</v>
      </c>
      <c r="AZ619">
        <f>Source!X164</f>
        <v>10415.5</v>
      </c>
      <c r="BA619">
        <f>Source!Y164</f>
        <v>5476.19</v>
      </c>
      <c r="CD619">
        <v>2</v>
      </c>
    </row>
    <row r="620" spans="1:83" ht="28.5" x14ac:dyDescent="0.2">
      <c r="A620" s="35" t="s">
        <v>268</v>
      </c>
      <c r="B620" s="37" t="s">
        <v>913</v>
      </c>
      <c r="C620" s="37" t="str">
        <f>Source!G165</f>
        <v>Установка разъединителей: с помощью механизмов</v>
      </c>
      <c r="D620" s="38" t="str">
        <f>Source!H165</f>
        <v>КОМПЛ</v>
      </c>
      <c r="E620" s="39">
        <f>Source!K165</f>
        <v>1</v>
      </c>
      <c r="F620" s="39"/>
      <c r="G620" s="39">
        <f>Source!I165</f>
        <v>1</v>
      </c>
      <c r="H620" s="41"/>
      <c r="I620" s="40"/>
      <c r="J620" s="41"/>
      <c r="K620" s="40"/>
      <c r="L620" s="41"/>
    </row>
    <row r="621" spans="1:83" ht="15" x14ac:dyDescent="0.2">
      <c r="A621" s="36"/>
      <c r="B621" s="39">
        <v>1</v>
      </c>
      <c r="C621" s="36" t="s">
        <v>835</v>
      </c>
      <c r="D621" s="38" t="s">
        <v>509</v>
      </c>
      <c r="E621" s="43"/>
      <c r="F621" s="39"/>
      <c r="G621" s="43">
        <f>Source!U165</f>
        <v>7.42</v>
      </c>
      <c r="H621" s="39"/>
      <c r="I621" s="39"/>
      <c r="J621" s="39"/>
      <c r="K621" s="39"/>
      <c r="L621" s="44">
        <f>SUM(L622:L622)-SUMIF(CE622:CE622, 1, L622:L622)</f>
        <v>3802.82</v>
      </c>
    </row>
    <row r="622" spans="1:83" ht="14.25" x14ac:dyDescent="0.2">
      <c r="A622" s="37"/>
      <c r="B622" s="37" t="s">
        <v>676</v>
      </c>
      <c r="C622" s="37" t="s">
        <v>677</v>
      </c>
      <c r="D622" s="38" t="s">
        <v>509</v>
      </c>
      <c r="E622" s="39">
        <v>7.42</v>
      </c>
      <c r="F622" s="39"/>
      <c r="G622" s="39">
        <f>SmtRes!CX213</f>
        <v>7.42</v>
      </c>
      <c r="H622" s="41"/>
      <c r="I622" s="40"/>
      <c r="J622" s="41">
        <f>SmtRes!CZ213</f>
        <v>512.51</v>
      </c>
      <c r="K622" s="40"/>
      <c r="L622" s="41">
        <f>SmtRes!DI213</f>
        <v>3802.82</v>
      </c>
    </row>
    <row r="623" spans="1:83" ht="15" x14ac:dyDescent="0.2">
      <c r="A623" s="36"/>
      <c r="B623" s="39">
        <v>2</v>
      </c>
      <c r="C623" s="36" t="s">
        <v>836</v>
      </c>
      <c r="D623" s="38"/>
      <c r="E623" s="43"/>
      <c r="F623" s="39"/>
      <c r="G623" s="43"/>
      <c r="H623" s="39"/>
      <c r="I623" s="39"/>
      <c r="J623" s="39"/>
      <c r="K623" s="39"/>
      <c r="L623" s="44">
        <f>SUM(L624:L628)-SUMIF(CE624:CE628, 1, L624:L628)</f>
        <v>1183.3200000000002</v>
      </c>
    </row>
    <row r="624" spans="1:83" ht="15" x14ac:dyDescent="0.2">
      <c r="A624" s="36"/>
      <c r="B624" s="39"/>
      <c r="C624" s="36" t="s">
        <v>839</v>
      </c>
      <c r="D624" s="38" t="s">
        <v>509</v>
      </c>
      <c r="E624" s="43"/>
      <c r="F624" s="39"/>
      <c r="G624" s="43">
        <f>Source!V165</f>
        <v>1.02</v>
      </c>
      <c r="H624" s="39"/>
      <c r="I624" s="39"/>
      <c r="J624" s="39"/>
      <c r="K624" s="39"/>
      <c r="L624" s="44">
        <f>SUMIF(CE625:CE628, 1, L625:L628)</f>
        <v>603.07999999999993</v>
      </c>
      <c r="CE624">
        <v>1</v>
      </c>
    </row>
    <row r="625" spans="1:83" ht="28.5" x14ac:dyDescent="0.2">
      <c r="A625" s="37"/>
      <c r="B625" s="37" t="s">
        <v>512</v>
      </c>
      <c r="C625" s="37" t="s">
        <v>514</v>
      </c>
      <c r="D625" s="38" t="s">
        <v>515</v>
      </c>
      <c r="E625" s="39">
        <v>0.61</v>
      </c>
      <c r="F625" s="39"/>
      <c r="G625" s="39">
        <f>SmtRes!CX215</f>
        <v>0.61</v>
      </c>
      <c r="H625" s="41"/>
      <c r="I625" s="40"/>
      <c r="J625" s="41">
        <f>SmtRes!CZ215</f>
        <v>1551.19</v>
      </c>
      <c r="K625" s="40"/>
      <c r="L625" s="41">
        <f>SmtRes!DG215</f>
        <v>946.23</v>
      </c>
    </row>
    <row r="626" spans="1:83" ht="14.25" x14ac:dyDescent="0.2">
      <c r="A626" s="37"/>
      <c r="B626" s="37" t="s">
        <v>516</v>
      </c>
      <c r="C626" s="37" t="s">
        <v>837</v>
      </c>
      <c r="D626" s="38" t="s">
        <v>509</v>
      </c>
      <c r="E626" s="39">
        <f>SmtRes!DO215*SmtRes!AT215</f>
        <v>0.61</v>
      </c>
      <c r="F626" s="39"/>
      <c r="G626" s="39">
        <f>SmtRes!DO215*SmtRes!CX215</f>
        <v>0.61</v>
      </c>
      <c r="H626" s="41"/>
      <c r="I626" s="40"/>
      <c r="J626" s="41">
        <f>ROUND(SmtRes!AG215/SmtRes!DO215, 2)</f>
        <v>658.94</v>
      </c>
      <c r="K626" s="40"/>
      <c r="L626" s="41">
        <f>SmtRes!DH215</f>
        <v>401.95</v>
      </c>
      <c r="CE626">
        <v>1</v>
      </c>
    </row>
    <row r="627" spans="1:83" ht="14.25" x14ac:dyDescent="0.2">
      <c r="A627" s="37"/>
      <c r="B627" s="37" t="s">
        <v>520</v>
      </c>
      <c r="C627" s="37" t="s">
        <v>522</v>
      </c>
      <c r="D627" s="38" t="s">
        <v>515</v>
      </c>
      <c r="E627" s="39">
        <v>0.41</v>
      </c>
      <c r="F627" s="39"/>
      <c r="G627" s="39">
        <f>SmtRes!CX216</f>
        <v>0.41</v>
      </c>
      <c r="H627" s="41">
        <f>SmtRes!CZ216</f>
        <v>477.92</v>
      </c>
      <c r="I627" s="40">
        <f>SmtRes!AJ216</f>
        <v>1.21</v>
      </c>
      <c r="J627" s="41">
        <f>ROUND(H627*I627, 2)</f>
        <v>578.28</v>
      </c>
      <c r="K627" s="40"/>
      <c r="L627" s="41">
        <f>SmtRes!DG216</f>
        <v>237.09</v>
      </c>
    </row>
    <row r="628" spans="1:83" ht="14.25" x14ac:dyDescent="0.2">
      <c r="A628" s="37"/>
      <c r="B628" s="37" t="s">
        <v>523</v>
      </c>
      <c r="C628" s="37" t="s">
        <v>838</v>
      </c>
      <c r="D628" s="38" t="s">
        <v>509</v>
      </c>
      <c r="E628" s="39">
        <f>SmtRes!DO216*SmtRes!AT216</f>
        <v>0.41</v>
      </c>
      <c r="F628" s="39"/>
      <c r="G628" s="39">
        <f>SmtRes!DO216*SmtRes!CX216</f>
        <v>0.41</v>
      </c>
      <c r="H628" s="41"/>
      <c r="I628" s="40"/>
      <c r="J628" s="41">
        <f>ROUND(SmtRes!AG216/SmtRes!DO216, 2)</f>
        <v>490.55</v>
      </c>
      <c r="K628" s="40"/>
      <c r="L628" s="41">
        <f>SmtRes!DH216</f>
        <v>201.13</v>
      </c>
      <c r="CE628">
        <v>1</v>
      </c>
    </row>
    <row r="629" spans="1:83" ht="15" x14ac:dyDescent="0.2">
      <c r="A629" s="36"/>
      <c r="B629" s="39">
        <v>4</v>
      </c>
      <c r="C629" s="36" t="s">
        <v>840</v>
      </c>
      <c r="D629" s="38"/>
      <c r="E629" s="43"/>
      <c r="F629" s="39"/>
      <c r="G629" s="43"/>
      <c r="H629" s="39"/>
      <c r="I629" s="39"/>
      <c r="J629" s="39"/>
      <c r="K629" s="39"/>
      <c r="L629" s="44">
        <f>SUM(L630:L635)-SUMIF(CE630:CE635, 1, L630:L635)</f>
        <v>29.03</v>
      </c>
    </row>
    <row r="630" spans="1:83" ht="14.25" x14ac:dyDescent="0.2">
      <c r="A630" s="37"/>
      <c r="B630" s="37" t="s">
        <v>678</v>
      </c>
      <c r="C630" s="37" t="s">
        <v>680</v>
      </c>
      <c r="D630" s="38" t="s">
        <v>549</v>
      </c>
      <c r="E630" s="39">
        <v>0.01</v>
      </c>
      <c r="F630" s="39"/>
      <c r="G630" s="39">
        <f>SmtRes!CX217</f>
        <v>0.01</v>
      </c>
      <c r="H630" s="41">
        <f>SmtRes!CZ217</f>
        <v>238.29</v>
      </c>
      <c r="I630" s="40">
        <f>SmtRes!AI217</f>
        <v>1.77</v>
      </c>
      <c r="J630" s="41">
        <f t="shared" ref="J630:J635" si="9">ROUND(H630*I630, 2)</f>
        <v>421.77</v>
      </c>
      <c r="K630" s="40"/>
      <c r="L630" s="41">
        <f>SmtRes!DF217</f>
        <v>4.22</v>
      </c>
    </row>
    <row r="631" spans="1:83" ht="14.25" x14ac:dyDescent="0.2">
      <c r="A631" s="37"/>
      <c r="B631" s="37" t="s">
        <v>681</v>
      </c>
      <c r="C631" s="37" t="s">
        <v>683</v>
      </c>
      <c r="D631" s="38" t="s">
        <v>549</v>
      </c>
      <c r="E631" s="39">
        <v>0.03</v>
      </c>
      <c r="F631" s="39"/>
      <c r="G631" s="39">
        <f>SmtRes!CX218</f>
        <v>0.03</v>
      </c>
      <c r="H631" s="41">
        <f>SmtRes!CZ218</f>
        <v>80.02</v>
      </c>
      <c r="I631" s="40">
        <f>SmtRes!AI218</f>
        <v>1.77</v>
      </c>
      <c r="J631" s="41">
        <f t="shared" si="9"/>
        <v>141.63999999999999</v>
      </c>
      <c r="K631" s="40"/>
      <c r="L631" s="41">
        <f>SmtRes!DF218</f>
        <v>4.25</v>
      </c>
    </row>
    <row r="632" spans="1:83" ht="14.25" x14ac:dyDescent="0.2">
      <c r="A632" s="37"/>
      <c r="B632" s="37" t="s">
        <v>553</v>
      </c>
      <c r="C632" s="37" t="s">
        <v>555</v>
      </c>
      <c r="D632" s="38" t="s">
        <v>549</v>
      </c>
      <c r="E632" s="39">
        <v>0</v>
      </c>
      <c r="F632" s="39"/>
      <c r="G632" s="39">
        <f>SmtRes!CX219</f>
        <v>0</v>
      </c>
      <c r="H632" s="41">
        <f>SmtRes!CZ219</f>
        <v>174.93</v>
      </c>
      <c r="I632" s="40">
        <f>SmtRes!AI219</f>
        <v>1.1499999999999999</v>
      </c>
      <c r="J632" s="41">
        <f t="shared" si="9"/>
        <v>201.17</v>
      </c>
      <c r="K632" s="40"/>
      <c r="L632" s="41">
        <f>SmtRes!DF219</f>
        <v>0</v>
      </c>
    </row>
    <row r="633" spans="1:83" ht="14.25" x14ac:dyDescent="0.2">
      <c r="A633" s="37"/>
      <c r="B633" s="37" t="s">
        <v>625</v>
      </c>
      <c r="C633" s="37" t="s">
        <v>627</v>
      </c>
      <c r="D633" s="38" t="s">
        <v>549</v>
      </c>
      <c r="E633" s="39">
        <v>0.02</v>
      </c>
      <c r="F633" s="39"/>
      <c r="G633" s="39">
        <f>SmtRes!CX220</f>
        <v>0.02</v>
      </c>
      <c r="H633" s="41">
        <f>SmtRes!CZ220</f>
        <v>56.11</v>
      </c>
      <c r="I633" s="40">
        <f>SmtRes!AI220</f>
        <v>1.39</v>
      </c>
      <c r="J633" s="41">
        <f t="shared" si="9"/>
        <v>77.989999999999995</v>
      </c>
      <c r="K633" s="40"/>
      <c r="L633" s="41">
        <f>SmtRes!DF220</f>
        <v>1.56</v>
      </c>
    </row>
    <row r="634" spans="1:83" ht="14.25" x14ac:dyDescent="0.2">
      <c r="A634" s="37"/>
      <c r="B634" s="37" t="s">
        <v>688</v>
      </c>
      <c r="C634" s="37" t="s">
        <v>690</v>
      </c>
      <c r="D634" s="38" t="s">
        <v>94</v>
      </c>
      <c r="E634" s="39">
        <v>1E-4</v>
      </c>
      <c r="F634" s="39"/>
      <c r="G634" s="39">
        <f>SmtRes!CX223</f>
        <v>1E-4</v>
      </c>
      <c r="H634" s="41">
        <f>SmtRes!CZ223</f>
        <v>80020.98</v>
      </c>
      <c r="I634" s="40">
        <f>SmtRes!AI223</f>
        <v>1.22</v>
      </c>
      <c r="J634" s="41">
        <f t="shared" si="9"/>
        <v>97625.600000000006</v>
      </c>
      <c r="K634" s="40"/>
      <c r="L634" s="41">
        <f>SmtRes!DF223</f>
        <v>9.76</v>
      </c>
    </row>
    <row r="635" spans="1:83" ht="14.25" x14ac:dyDescent="0.2">
      <c r="A635" s="37"/>
      <c r="B635" s="37" t="s">
        <v>628</v>
      </c>
      <c r="C635" s="45" t="s">
        <v>630</v>
      </c>
      <c r="D635" s="46" t="s">
        <v>549</v>
      </c>
      <c r="E635" s="47">
        <v>0.12</v>
      </c>
      <c r="F635" s="47"/>
      <c r="G635" s="47">
        <f>SmtRes!CX224</f>
        <v>0.12</v>
      </c>
      <c r="H635" s="48">
        <f>SmtRes!CZ224</f>
        <v>60.6</v>
      </c>
      <c r="I635" s="49">
        <f>SmtRes!AI224</f>
        <v>1.27</v>
      </c>
      <c r="J635" s="48">
        <f t="shared" si="9"/>
        <v>76.959999999999994</v>
      </c>
      <c r="K635" s="49"/>
      <c r="L635" s="48">
        <f>SmtRes!DF224</f>
        <v>9.24</v>
      </c>
    </row>
    <row r="636" spans="1:83" ht="15" x14ac:dyDescent="0.2">
      <c r="A636" s="37"/>
      <c r="B636" s="37"/>
      <c r="C636" s="51" t="s">
        <v>841</v>
      </c>
      <c r="D636" s="38"/>
      <c r="E636" s="39"/>
      <c r="F636" s="39"/>
      <c r="G636" s="39"/>
      <c r="H636" s="41"/>
      <c r="I636" s="40"/>
      <c r="J636" s="41"/>
      <c r="K636" s="40"/>
      <c r="L636" s="41">
        <f>L621+L623+L624+L629</f>
        <v>5618.25</v>
      </c>
    </row>
    <row r="637" spans="1:83" ht="14.25" x14ac:dyDescent="0.2">
      <c r="A637" s="37"/>
      <c r="B637" s="37"/>
      <c r="C637" s="37" t="s">
        <v>842</v>
      </c>
      <c r="D637" s="38"/>
      <c r="E637" s="39"/>
      <c r="F637" s="39"/>
      <c r="G637" s="39"/>
      <c r="H637" s="41"/>
      <c r="I637" s="40"/>
      <c r="J637" s="41"/>
      <c r="K637" s="40"/>
      <c r="L637" s="41">
        <f>SUM(AR620:AR640)+SUM(AS620:AS640)+SUM(AT620:AT640)+SUM(AU620:AU640)+SUM(AV620:AV640)</f>
        <v>4405.8999999999996</v>
      </c>
    </row>
    <row r="638" spans="1:83" ht="14.25" x14ac:dyDescent="0.2">
      <c r="A638" s="37"/>
      <c r="B638" s="37" t="s">
        <v>241</v>
      </c>
      <c r="C638" s="37" t="s">
        <v>914</v>
      </c>
      <c r="D638" s="38" t="s">
        <v>669</v>
      </c>
      <c r="E638" s="39">
        <f>Source!BZ165</f>
        <v>103</v>
      </c>
      <c r="F638" s="39"/>
      <c r="G638" s="39">
        <f>Source!AT165</f>
        <v>103</v>
      </c>
      <c r="H638" s="41"/>
      <c r="I638" s="40"/>
      <c r="J638" s="41"/>
      <c r="K638" s="40"/>
      <c r="L638" s="41">
        <f>SUM(AZ620:AZ640)</f>
        <v>4538.08</v>
      </c>
    </row>
    <row r="639" spans="1:83" ht="14.25" x14ac:dyDescent="0.2">
      <c r="A639" s="45"/>
      <c r="B639" s="45" t="s">
        <v>242</v>
      </c>
      <c r="C639" s="45" t="s">
        <v>915</v>
      </c>
      <c r="D639" s="46" t="s">
        <v>669</v>
      </c>
      <c r="E639" s="47">
        <f>Source!CA165</f>
        <v>60</v>
      </c>
      <c r="F639" s="47"/>
      <c r="G639" s="47">
        <f>Source!AU165</f>
        <v>60</v>
      </c>
      <c r="H639" s="48"/>
      <c r="I639" s="49"/>
      <c r="J639" s="48"/>
      <c r="K639" s="49"/>
      <c r="L639" s="48">
        <f>SUM(BA620:BA640)</f>
        <v>2643.54</v>
      </c>
    </row>
    <row r="640" spans="1:83" ht="15" x14ac:dyDescent="0.2">
      <c r="C640" s="112" t="s">
        <v>845</v>
      </c>
      <c r="D640" s="112"/>
      <c r="E640" s="112"/>
      <c r="F640" s="112"/>
      <c r="G640" s="112"/>
      <c r="H640" s="112"/>
      <c r="I640" s="113">
        <f>K640/E620</f>
        <v>12799.87</v>
      </c>
      <c r="J640" s="113"/>
      <c r="K640" s="113">
        <f>L621+L623+L629+L638+L639+L624</f>
        <v>12799.87</v>
      </c>
      <c r="L640" s="113"/>
      <c r="AD640">
        <f>ROUND((Source!AT165/100)*((ROUND(SUMIF(SmtRes!AQ213:'SmtRes'!AQ227,"=1",SmtRes!AD213:'SmtRes'!AD227)*Source!I165, 2)+ROUND(SUMIF(SmtRes!AQ213:'SmtRes'!AQ227,"=1",SmtRes!AC213:'SmtRes'!AC227)*Source!I165, 2))), 2)</f>
        <v>1711.86</v>
      </c>
      <c r="AE640">
        <f>ROUND((Source!AU165/100)*((ROUND(SUMIF(SmtRes!AQ213:'SmtRes'!AQ227,"=1",SmtRes!AD213:'SmtRes'!AD227)*Source!I165, 2)+ROUND(SUMIF(SmtRes!AQ213:'SmtRes'!AQ227,"=1",SmtRes!AC213:'SmtRes'!AC227)*Source!I165, 2))), 2)</f>
        <v>997.2</v>
      </c>
      <c r="AN640" s="50">
        <f>L621+L623+L629+L638+L639+L624</f>
        <v>12799.87</v>
      </c>
      <c r="AO640" s="50">
        <f>L623</f>
        <v>1183.3200000000002</v>
      </c>
      <c r="AQ640" t="s">
        <v>846</v>
      </c>
      <c r="AR640" s="50">
        <f>L621</f>
        <v>3802.82</v>
      </c>
      <c r="AT640" s="50">
        <f>L624</f>
        <v>603.07999999999993</v>
      </c>
      <c r="AV640" t="s">
        <v>846</v>
      </c>
      <c r="AW640" s="50">
        <f>L629</f>
        <v>29.03</v>
      </c>
      <c r="AZ640">
        <f>Source!X165</f>
        <v>4538.08</v>
      </c>
      <c r="BA640">
        <f>Source!Y165</f>
        <v>2643.54</v>
      </c>
      <c r="CD640">
        <v>1</v>
      </c>
    </row>
    <row r="641" spans="1:83" ht="28.5" x14ac:dyDescent="0.2">
      <c r="A641" s="35" t="s">
        <v>270</v>
      </c>
      <c r="B641" s="37" t="s">
        <v>922</v>
      </c>
      <c r="C641" s="37" t="str">
        <f>Source!G166</f>
        <v>Зажим наборный без кожуха</v>
      </c>
      <c r="D641" s="38" t="str">
        <f>Source!H166</f>
        <v>100 ШТ</v>
      </c>
      <c r="E641" s="39">
        <f>Source!K166</f>
        <v>0.06</v>
      </c>
      <c r="F641" s="39"/>
      <c r="G641" s="39">
        <f>Source!I166</f>
        <v>0.06</v>
      </c>
      <c r="H641" s="41"/>
      <c r="I641" s="40"/>
      <c r="J641" s="41"/>
      <c r="K641" s="40"/>
      <c r="L641" s="41"/>
    </row>
    <row r="642" spans="1:83" x14ac:dyDescent="0.2">
      <c r="C642" s="58" t="str">
        <f>"Объем: "&amp;Source!I166&amp;"=6/"&amp;"100"</f>
        <v>Объем: 0,06=6/100</v>
      </c>
    </row>
    <row r="643" spans="1:83" ht="15" x14ac:dyDescent="0.2">
      <c r="A643" s="36"/>
      <c r="B643" s="39">
        <v>1</v>
      </c>
      <c r="C643" s="36" t="s">
        <v>835</v>
      </c>
      <c r="D643" s="38" t="s">
        <v>509</v>
      </c>
      <c r="E643" s="43"/>
      <c r="F643" s="39"/>
      <c r="G643" s="43">
        <f>Source!U166</f>
        <v>2.472</v>
      </c>
      <c r="H643" s="39"/>
      <c r="I643" s="39"/>
      <c r="J643" s="39"/>
      <c r="K643" s="39"/>
      <c r="L643" s="44">
        <f>SUM(L644:L644)-SUMIF(CE644:CE644, 1, L644:L644)</f>
        <v>1212.6400000000001</v>
      </c>
    </row>
    <row r="644" spans="1:83" ht="14.25" x14ac:dyDescent="0.2">
      <c r="A644" s="37"/>
      <c r="B644" s="37" t="s">
        <v>653</v>
      </c>
      <c r="C644" s="37" t="s">
        <v>654</v>
      </c>
      <c r="D644" s="38" t="s">
        <v>509</v>
      </c>
      <c r="E644" s="39">
        <v>41.2</v>
      </c>
      <c r="F644" s="39"/>
      <c r="G644" s="39">
        <f>SmtRes!CX228</f>
        <v>2.472</v>
      </c>
      <c r="H644" s="41"/>
      <c r="I644" s="40"/>
      <c r="J644" s="41">
        <f>SmtRes!CZ228</f>
        <v>490.55</v>
      </c>
      <c r="K644" s="40"/>
      <c r="L644" s="41">
        <f>SmtRes!DI228</f>
        <v>1212.6400000000001</v>
      </c>
    </row>
    <row r="645" spans="1:83" ht="15" x14ac:dyDescent="0.2">
      <c r="A645" s="36"/>
      <c r="B645" s="39">
        <v>2</v>
      </c>
      <c r="C645" s="36" t="s">
        <v>836</v>
      </c>
      <c r="D645" s="38"/>
      <c r="E645" s="43"/>
      <c r="F645" s="39"/>
      <c r="G645" s="43"/>
      <c r="H645" s="39"/>
      <c r="I645" s="39"/>
      <c r="J645" s="39"/>
      <c r="K645" s="39"/>
      <c r="L645" s="44">
        <f>SUM(L646:L651)-SUMIF(CE646:CE651, 1, L646:L651)</f>
        <v>13.030000000000003</v>
      </c>
    </row>
    <row r="646" spans="1:83" ht="15" x14ac:dyDescent="0.2">
      <c r="A646" s="36"/>
      <c r="B646" s="39"/>
      <c r="C646" s="36" t="s">
        <v>839</v>
      </c>
      <c r="D646" s="38" t="s">
        <v>509</v>
      </c>
      <c r="E646" s="43"/>
      <c r="F646" s="39"/>
      <c r="G646" s="43">
        <f>Source!V166</f>
        <v>1.2E-2</v>
      </c>
      <c r="H646" s="39"/>
      <c r="I646" s="39"/>
      <c r="J646" s="39"/>
      <c r="K646" s="39"/>
      <c r="L646" s="44">
        <f>SUMIF(CE647:CE651, 1, L647:L651)</f>
        <v>6.8900000000000006</v>
      </c>
      <c r="CE646">
        <v>1</v>
      </c>
    </row>
    <row r="647" spans="1:83" ht="28.5" x14ac:dyDescent="0.2">
      <c r="A647" s="37"/>
      <c r="B647" s="37" t="s">
        <v>512</v>
      </c>
      <c r="C647" s="37" t="s">
        <v>514</v>
      </c>
      <c r="D647" s="38" t="s">
        <v>515</v>
      </c>
      <c r="E647" s="39">
        <v>0.1</v>
      </c>
      <c r="F647" s="39"/>
      <c r="G647" s="39">
        <f>SmtRes!CX230</f>
        <v>6.0000000000000001E-3</v>
      </c>
      <c r="H647" s="41"/>
      <c r="I647" s="40"/>
      <c r="J647" s="41">
        <f>SmtRes!CZ230</f>
        <v>1551.19</v>
      </c>
      <c r="K647" s="40"/>
      <c r="L647" s="41">
        <f>SmtRes!DG230</f>
        <v>9.31</v>
      </c>
    </row>
    <row r="648" spans="1:83" ht="14.25" x14ac:dyDescent="0.2">
      <c r="A648" s="37"/>
      <c r="B648" s="37" t="s">
        <v>516</v>
      </c>
      <c r="C648" s="37" t="s">
        <v>837</v>
      </c>
      <c r="D648" s="38" t="s">
        <v>509</v>
      </c>
      <c r="E648" s="39">
        <f>SmtRes!DO230*SmtRes!AT230</f>
        <v>0.1</v>
      </c>
      <c r="F648" s="39"/>
      <c r="G648" s="39">
        <f>SmtRes!DO230*SmtRes!CX230</f>
        <v>6.0000000000000001E-3</v>
      </c>
      <c r="H648" s="41"/>
      <c r="I648" s="40"/>
      <c r="J648" s="41">
        <f>ROUND(SmtRes!AG230/SmtRes!DO230, 2)</f>
        <v>658.94</v>
      </c>
      <c r="K648" s="40"/>
      <c r="L648" s="41">
        <f>SmtRes!DH230</f>
        <v>3.95</v>
      </c>
      <c r="CE648">
        <v>1</v>
      </c>
    </row>
    <row r="649" spans="1:83" ht="14.25" x14ac:dyDescent="0.2">
      <c r="A649" s="37"/>
      <c r="B649" s="37" t="s">
        <v>520</v>
      </c>
      <c r="C649" s="37" t="s">
        <v>522</v>
      </c>
      <c r="D649" s="38" t="s">
        <v>515</v>
      </c>
      <c r="E649" s="39">
        <v>0.1</v>
      </c>
      <c r="F649" s="39"/>
      <c r="G649" s="39">
        <f>SmtRes!CX231</f>
        <v>6.0000000000000001E-3</v>
      </c>
      <c r="H649" s="41">
        <f>SmtRes!CZ231</f>
        <v>477.92</v>
      </c>
      <c r="I649" s="40">
        <f>SmtRes!AJ231</f>
        <v>1.21</v>
      </c>
      <c r="J649" s="41">
        <f>ROUND(H649*I649, 2)</f>
        <v>578.28</v>
      </c>
      <c r="K649" s="40"/>
      <c r="L649" s="41">
        <f>SmtRes!DG231</f>
        <v>3.47</v>
      </c>
    </row>
    <row r="650" spans="1:83" ht="14.25" x14ac:dyDescent="0.2">
      <c r="A650" s="37"/>
      <c r="B650" s="37" t="s">
        <v>523</v>
      </c>
      <c r="C650" s="37" t="s">
        <v>838</v>
      </c>
      <c r="D650" s="38" t="s">
        <v>509</v>
      </c>
      <c r="E650" s="39">
        <f>SmtRes!DO231*SmtRes!AT231</f>
        <v>0.1</v>
      </c>
      <c r="F650" s="39"/>
      <c r="G650" s="39">
        <f>SmtRes!DO231*SmtRes!CX231</f>
        <v>6.0000000000000001E-3</v>
      </c>
      <c r="H650" s="41"/>
      <c r="I650" s="40"/>
      <c r="J650" s="41">
        <f>ROUND(SmtRes!AG231/SmtRes!DO231, 2)</f>
        <v>490.55</v>
      </c>
      <c r="K650" s="40"/>
      <c r="L650" s="41">
        <f>SmtRes!DH231</f>
        <v>2.94</v>
      </c>
      <c r="CE650">
        <v>1</v>
      </c>
    </row>
    <row r="651" spans="1:83" ht="28.5" x14ac:dyDescent="0.2">
      <c r="A651" s="37"/>
      <c r="B651" s="37" t="s">
        <v>655</v>
      </c>
      <c r="C651" s="37" t="s">
        <v>657</v>
      </c>
      <c r="D651" s="38" t="s">
        <v>515</v>
      </c>
      <c r="E651" s="39">
        <v>0.16</v>
      </c>
      <c r="F651" s="39"/>
      <c r="G651" s="39">
        <f>SmtRes!CX232</f>
        <v>9.5999999999999992E-3</v>
      </c>
      <c r="H651" s="41"/>
      <c r="I651" s="40"/>
      <c r="J651" s="41">
        <f>SmtRes!CZ232</f>
        <v>26.32</v>
      </c>
      <c r="K651" s="40"/>
      <c r="L651" s="41">
        <f>SmtRes!DG232</f>
        <v>0.25</v>
      </c>
    </row>
    <row r="652" spans="1:83" ht="15" x14ac:dyDescent="0.2">
      <c r="A652" s="36"/>
      <c r="B652" s="39">
        <v>4</v>
      </c>
      <c r="C652" s="36" t="s">
        <v>840</v>
      </c>
      <c r="D652" s="38"/>
      <c r="E652" s="43"/>
      <c r="F652" s="39"/>
      <c r="G652" s="43"/>
      <c r="H652" s="39"/>
      <c r="I652" s="39"/>
      <c r="J652" s="39"/>
      <c r="K652" s="39"/>
      <c r="L652" s="44">
        <f>SUM(L653:L655)-SUMIF(CE653:CE655, 1, L653:L655)</f>
        <v>74.87</v>
      </c>
    </row>
    <row r="653" spans="1:83" ht="28.5" x14ac:dyDescent="0.2">
      <c r="A653" s="37"/>
      <c r="B653" s="37" t="s">
        <v>661</v>
      </c>
      <c r="C653" s="37" t="s">
        <v>663</v>
      </c>
      <c r="D653" s="38" t="s">
        <v>94</v>
      </c>
      <c r="E653" s="39">
        <v>3.0000000000000001E-3</v>
      </c>
      <c r="F653" s="39"/>
      <c r="G653" s="39">
        <f>SmtRes!CX233</f>
        <v>1.8000000000000001E-4</v>
      </c>
      <c r="H653" s="41">
        <f>SmtRes!CZ233</f>
        <v>70310.45</v>
      </c>
      <c r="I653" s="40">
        <f>SmtRes!AI233</f>
        <v>0.88</v>
      </c>
      <c r="J653" s="41">
        <f>ROUND(H653*I653, 2)</f>
        <v>61873.2</v>
      </c>
      <c r="K653" s="40"/>
      <c r="L653" s="41">
        <f>SmtRes!DF233</f>
        <v>11.14</v>
      </c>
    </row>
    <row r="654" spans="1:83" ht="28.5" x14ac:dyDescent="0.2">
      <c r="A654" s="37"/>
      <c r="B654" s="37" t="s">
        <v>723</v>
      </c>
      <c r="C654" s="37" t="s">
        <v>725</v>
      </c>
      <c r="D654" s="38" t="s">
        <v>549</v>
      </c>
      <c r="E654" s="39">
        <v>0.8</v>
      </c>
      <c r="F654" s="39"/>
      <c r="G654" s="39">
        <f>SmtRes!CX234</f>
        <v>4.8000000000000001E-2</v>
      </c>
      <c r="H654" s="41">
        <f>SmtRes!CZ234</f>
        <v>79.88</v>
      </c>
      <c r="I654" s="40">
        <f>SmtRes!AI234</f>
        <v>1.31</v>
      </c>
      <c r="J654" s="41">
        <f>ROUND(H654*I654, 2)</f>
        <v>104.64</v>
      </c>
      <c r="K654" s="40"/>
      <c r="L654" s="41">
        <f>SmtRes!DF234</f>
        <v>5.0199999999999996</v>
      </c>
    </row>
    <row r="655" spans="1:83" ht="14.25" x14ac:dyDescent="0.2">
      <c r="A655" s="37"/>
      <c r="B655" s="37" t="s">
        <v>726</v>
      </c>
      <c r="C655" s="45" t="s">
        <v>728</v>
      </c>
      <c r="D655" s="46" t="s">
        <v>76</v>
      </c>
      <c r="E655" s="47">
        <v>1.02</v>
      </c>
      <c r="F655" s="47"/>
      <c r="G655" s="47">
        <f>SmtRes!CX235</f>
        <v>6.1199999999999997E-2</v>
      </c>
      <c r="H655" s="48">
        <f>SmtRes!CZ235</f>
        <v>896.51</v>
      </c>
      <c r="I655" s="49">
        <f>SmtRes!AI235</f>
        <v>1.07</v>
      </c>
      <c r="J655" s="48">
        <f>ROUND(H655*I655, 2)</f>
        <v>959.27</v>
      </c>
      <c r="K655" s="49"/>
      <c r="L655" s="48">
        <f>SmtRes!DF235</f>
        <v>58.71</v>
      </c>
    </row>
    <row r="656" spans="1:83" ht="15" x14ac:dyDescent="0.2">
      <c r="A656" s="37"/>
      <c r="B656" s="37"/>
      <c r="C656" s="51" t="s">
        <v>841</v>
      </c>
      <c r="D656" s="38"/>
      <c r="E656" s="39"/>
      <c r="F656" s="39"/>
      <c r="G656" s="39"/>
      <c r="H656" s="41"/>
      <c r="I656" s="40"/>
      <c r="J656" s="41"/>
      <c r="K656" s="40"/>
      <c r="L656" s="41">
        <f>L643+L645+L646+L652</f>
        <v>1307.4300000000003</v>
      </c>
    </row>
    <row r="657" spans="1:83" ht="14.25" x14ac:dyDescent="0.2">
      <c r="A657" s="37"/>
      <c r="B657" s="37"/>
      <c r="C657" s="37" t="s">
        <v>842</v>
      </c>
      <c r="D657" s="38"/>
      <c r="E657" s="39"/>
      <c r="F657" s="39"/>
      <c r="G657" s="39"/>
      <c r="H657" s="41"/>
      <c r="I657" s="40"/>
      <c r="J657" s="41"/>
      <c r="K657" s="40"/>
      <c r="L657" s="41">
        <f>SUM(AR641:AR660)+SUM(AS641:AS660)+SUM(AT641:AT660)+SUM(AU641:AU660)+SUM(AV641:AV660)</f>
        <v>1219.5300000000002</v>
      </c>
    </row>
    <row r="658" spans="1:83" ht="28.5" x14ac:dyDescent="0.2">
      <c r="A658" s="37"/>
      <c r="B658" s="37" t="s">
        <v>228</v>
      </c>
      <c r="C658" s="37" t="s">
        <v>910</v>
      </c>
      <c r="D658" s="38" t="s">
        <v>669</v>
      </c>
      <c r="E658" s="39">
        <f>Source!BZ166</f>
        <v>97</v>
      </c>
      <c r="F658" s="39"/>
      <c r="G658" s="39">
        <f>Source!AT166</f>
        <v>97</v>
      </c>
      <c r="H658" s="41"/>
      <c r="I658" s="40"/>
      <c r="J658" s="41"/>
      <c r="K658" s="40"/>
      <c r="L658" s="41">
        <f>SUM(AZ641:AZ660)</f>
        <v>1182.94</v>
      </c>
    </row>
    <row r="659" spans="1:83" ht="28.5" x14ac:dyDescent="0.2">
      <c r="A659" s="45"/>
      <c r="B659" s="45" t="s">
        <v>229</v>
      </c>
      <c r="C659" s="45" t="s">
        <v>911</v>
      </c>
      <c r="D659" s="46" t="s">
        <v>669</v>
      </c>
      <c r="E659" s="47">
        <f>Source!CA166</f>
        <v>51</v>
      </c>
      <c r="F659" s="47"/>
      <c r="G659" s="47">
        <f>Source!AU166</f>
        <v>51</v>
      </c>
      <c r="H659" s="48"/>
      <c r="I659" s="49"/>
      <c r="J659" s="48"/>
      <c r="K659" s="49"/>
      <c r="L659" s="48">
        <f>SUM(BA641:BA660)</f>
        <v>621.96</v>
      </c>
    </row>
    <row r="660" spans="1:83" ht="15" x14ac:dyDescent="0.2">
      <c r="C660" s="112" t="s">
        <v>845</v>
      </c>
      <c r="D660" s="112"/>
      <c r="E660" s="112"/>
      <c r="F660" s="112"/>
      <c r="G660" s="112"/>
      <c r="H660" s="112"/>
      <c r="I660" s="113">
        <f>K660/E641</f>
        <v>51872.166666666664</v>
      </c>
      <c r="J660" s="113"/>
      <c r="K660" s="113">
        <f>L643+L645+L652+L658+L659+L646</f>
        <v>3112.33</v>
      </c>
      <c r="L660" s="113"/>
      <c r="AD660">
        <f>ROUND((Source!AT166/100)*((ROUND(SUMIF(SmtRes!AQ228:'SmtRes'!AQ236,"=1",SmtRes!AD228:'SmtRes'!AD236)*Source!I166, 2)+ROUND(SUMIF(SmtRes!AQ228:'SmtRes'!AQ236,"=1",SmtRes!AC228:'SmtRes'!AC236)*Source!I166, 2))), 2)</f>
        <v>95.45</v>
      </c>
      <c r="AE660">
        <f>ROUND((Source!AU166/100)*((ROUND(SUMIF(SmtRes!AQ228:'SmtRes'!AQ236,"=1",SmtRes!AD228:'SmtRes'!AD236)*Source!I166, 2)+ROUND(SUMIF(SmtRes!AQ228:'SmtRes'!AQ236,"=1",SmtRes!AC228:'SmtRes'!AC236)*Source!I166, 2))), 2)</f>
        <v>50.18</v>
      </c>
      <c r="AN660" s="50">
        <f>L643+L645+L652+L658+L659+L646</f>
        <v>3112.33</v>
      </c>
      <c r="AO660" s="50">
        <f>L645</f>
        <v>13.030000000000003</v>
      </c>
      <c r="AQ660" t="s">
        <v>846</v>
      </c>
      <c r="AR660" s="50">
        <f>L643</f>
        <v>1212.6400000000001</v>
      </c>
      <c r="AT660" s="50">
        <f>L646</f>
        <v>6.8900000000000006</v>
      </c>
      <c r="AV660" t="s">
        <v>846</v>
      </c>
      <c r="AW660" s="50">
        <f>L652</f>
        <v>74.87</v>
      </c>
      <c r="AZ660">
        <f>Source!X166</f>
        <v>1182.94</v>
      </c>
      <c r="BA660">
        <f>Source!Y166</f>
        <v>621.96</v>
      </c>
      <c r="CD660">
        <v>2</v>
      </c>
    </row>
    <row r="661" spans="1:83" ht="42.75" x14ac:dyDescent="0.2">
      <c r="A661" s="35" t="s">
        <v>274</v>
      </c>
      <c r="B661" s="37" t="s">
        <v>916</v>
      </c>
      <c r="C661" s="37" t="str">
        <f>Source!G167</f>
        <v>Подвеска провода СИП-3 на опорах, (3 провода) при 21 опоре на км линии: с использованием автогидроподъемника</v>
      </c>
      <c r="D661" s="38" t="str">
        <f>Source!H167</f>
        <v>км</v>
      </c>
      <c r="E661" s="39">
        <f>Source!K167</f>
        <v>0.01</v>
      </c>
      <c r="F661" s="39"/>
      <c r="G661" s="39">
        <f>Source!I167</f>
        <v>0.01</v>
      </c>
      <c r="H661" s="41"/>
      <c r="I661" s="40"/>
      <c r="J661" s="41"/>
      <c r="K661" s="40"/>
      <c r="L661" s="41"/>
    </row>
    <row r="662" spans="1:83" ht="15" x14ac:dyDescent="0.2">
      <c r="A662" s="36"/>
      <c r="B662" s="39">
        <v>1</v>
      </c>
      <c r="C662" s="36" t="s">
        <v>835</v>
      </c>
      <c r="D662" s="38" t="s">
        <v>509</v>
      </c>
      <c r="E662" s="43"/>
      <c r="F662" s="39"/>
      <c r="G662" s="43">
        <f>Source!U167</f>
        <v>0.78280000000000005</v>
      </c>
      <c r="H662" s="39"/>
      <c r="I662" s="39"/>
      <c r="J662" s="39"/>
      <c r="K662" s="39"/>
      <c r="L662" s="44">
        <f>SUM(L663:L666)-SUMIF(CE663:CE666, 1, L663:L666)</f>
        <v>375.9</v>
      </c>
    </row>
    <row r="663" spans="1:83" ht="14.25" x14ac:dyDescent="0.2">
      <c r="A663" s="37"/>
      <c r="B663" s="37" t="s">
        <v>697</v>
      </c>
      <c r="C663" s="37" t="s">
        <v>698</v>
      </c>
      <c r="D663" s="38" t="s">
        <v>699</v>
      </c>
      <c r="E663" s="39">
        <v>0.91</v>
      </c>
      <c r="F663" s="39"/>
      <c r="G663" s="39">
        <f>SmtRes!CX237</f>
        <v>9.1000000000000004E-3</v>
      </c>
      <c r="H663" s="41"/>
      <c r="I663" s="40"/>
      <c r="J663" s="41">
        <f>SmtRes!CZ237</f>
        <v>399.03</v>
      </c>
      <c r="K663" s="40"/>
      <c r="L663" s="41">
        <f>SmtRes!DI237</f>
        <v>3.63</v>
      </c>
    </row>
    <row r="664" spans="1:83" ht="14.25" x14ac:dyDescent="0.2">
      <c r="A664" s="37"/>
      <c r="B664" s="37" t="s">
        <v>700</v>
      </c>
      <c r="C664" s="37" t="s">
        <v>701</v>
      </c>
      <c r="D664" s="38" t="s">
        <v>699</v>
      </c>
      <c r="E664" s="39">
        <v>38.89</v>
      </c>
      <c r="F664" s="39"/>
      <c r="G664" s="39">
        <f>SmtRes!CX238</f>
        <v>0.38890000000000002</v>
      </c>
      <c r="H664" s="41"/>
      <c r="I664" s="40"/>
      <c r="J664" s="41">
        <f>SmtRes!CZ238</f>
        <v>435.64</v>
      </c>
      <c r="K664" s="40"/>
      <c r="L664" s="41">
        <f>SmtRes!DI238</f>
        <v>169.42</v>
      </c>
    </row>
    <row r="665" spans="1:83" ht="14.25" x14ac:dyDescent="0.2">
      <c r="A665" s="37"/>
      <c r="B665" s="37" t="s">
        <v>702</v>
      </c>
      <c r="C665" s="37" t="s">
        <v>703</v>
      </c>
      <c r="D665" s="38" t="s">
        <v>699</v>
      </c>
      <c r="E665" s="39">
        <v>19.239999999999998</v>
      </c>
      <c r="F665" s="39"/>
      <c r="G665" s="39">
        <f>SmtRes!CX239</f>
        <v>0.19239999999999999</v>
      </c>
      <c r="H665" s="41"/>
      <c r="I665" s="40"/>
      <c r="J665" s="41">
        <f>SmtRes!CZ239</f>
        <v>490.55</v>
      </c>
      <c r="K665" s="40"/>
      <c r="L665" s="41">
        <f>SmtRes!DI239</f>
        <v>94.38</v>
      </c>
    </row>
    <row r="666" spans="1:83" ht="14.25" x14ac:dyDescent="0.2">
      <c r="A666" s="37"/>
      <c r="B666" s="37" t="s">
        <v>704</v>
      </c>
      <c r="C666" s="37" t="s">
        <v>705</v>
      </c>
      <c r="D666" s="38" t="s">
        <v>699</v>
      </c>
      <c r="E666" s="39">
        <v>19.239999999999998</v>
      </c>
      <c r="F666" s="39"/>
      <c r="G666" s="39">
        <f>SmtRes!CX240</f>
        <v>0.19239999999999999</v>
      </c>
      <c r="H666" s="41"/>
      <c r="I666" s="40"/>
      <c r="J666" s="41">
        <f>SmtRes!CZ240</f>
        <v>563.76</v>
      </c>
      <c r="K666" s="40"/>
      <c r="L666" s="41">
        <f>SmtRes!DI240</f>
        <v>108.47</v>
      </c>
    </row>
    <row r="667" spans="1:83" ht="15" x14ac:dyDescent="0.2">
      <c r="A667" s="36"/>
      <c r="B667" s="39">
        <v>2</v>
      </c>
      <c r="C667" s="36" t="s">
        <v>836</v>
      </c>
      <c r="D667" s="38"/>
      <c r="E667" s="43"/>
      <c r="F667" s="39"/>
      <c r="G667" s="43"/>
      <c r="H667" s="39"/>
      <c r="I667" s="39"/>
      <c r="J667" s="39"/>
      <c r="K667" s="39"/>
      <c r="L667" s="44">
        <f>SUM(L668:L677)-SUMIF(CE668:CE677, 1, L668:L677)</f>
        <v>105.62999999999997</v>
      </c>
    </row>
    <row r="668" spans="1:83" ht="15" x14ac:dyDescent="0.2">
      <c r="A668" s="36"/>
      <c r="B668" s="39"/>
      <c r="C668" s="36" t="s">
        <v>839</v>
      </c>
      <c r="D668" s="38" t="s">
        <v>509</v>
      </c>
      <c r="E668" s="43"/>
      <c r="F668" s="39"/>
      <c r="G668" s="43">
        <f>Source!V167</f>
        <v>0.22239999999999999</v>
      </c>
      <c r="H668" s="39"/>
      <c r="I668" s="39"/>
      <c r="J668" s="39"/>
      <c r="K668" s="39"/>
      <c r="L668" s="44">
        <f>SUMIF(CE669:CE677, 1, L669:L677)</f>
        <v>110.16999999999999</v>
      </c>
      <c r="CE668">
        <v>1</v>
      </c>
    </row>
    <row r="669" spans="1:83" ht="28.5" x14ac:dyDescent="0.2">
      <c r="A669" s="37"/>
      <c r="B669" s="37" t="s">
        <v>512</v>
      </c>
      <c r="C669" s="37" t="s">
        <v>514</v>
      </c>
      <c r="D669" s="38" t="s">
        <v>515</v>
      </c>
      <c r="E669" s="39">
        <v>0.64</v>
      </c>
      <c r="F669" s="39"/>
      <c r="G669" s="39">
        <f>SmtRes!CX242</f>
        <v>6.4000000000000003E-3</v>
      </c>
      <c r="H669" s="41"/>
      <c r="I669" s="40"/>
      <c r="J669" s="41">
        <f>SmtRes!CZ242</f>
        <v>1551.19</v>
      </c>
      <c r="K669" s="40"/>
      <c r="L669" s="41">
        <f>SmtRes!DG242</f>
        <v>9.93</v>
      </c>
    </row>
    <row r="670" spans="1:83" ht="14.25" x14ac:dyDescent="0.2">
      <c r="A670" s="37"/>
      <c r="B670" s="37" t="s">
        <v>516</v>
      </c>
      <c r="C670" s="37" t="s">
        <v>837</v>
      </c>
      <c r="D670" s="38" t="s">
        <v>509</v>
      </c>
      <c r="E670" s="39">
        <f>SmtRes!DO242*SmtRes!AT242</f>
        <v>0.64</v>
      </c>
      <c r="F670" s="39"/>
      <c r="G670" s="39">
        <f>SmtRes!DO242*SmtRes!CX242</f>
        <v>6.4000000000000003E-3</v>
      </c>
      <c r="H670" s="41"/>
      <c r="I670" s="40"/>
      <c r="J670" s="41">
        <f>ROUND(SmtRes!AG242/SmtRes!DO242, 2)</f>
        <v>658.94</v>
      </c>
      <c r="K670" s="40"/>
      <c r="L670" s="41">
        <f>SmtRes!DH242</f>
        <v>4.22</v>
      </c>
      <c r="CE670">
        <v>1</v>
      </c>
    </row>
    <row r="671" spans="1:83" ht="28.5" x14ac:dyDescent="0.2">
      <c r="A671" s="37"/>
      <c r="B671" s="37" t="s">
        <v>706</v>
      </c>
      <c r="C671" s="37" t="s">
        <v>708</v>
      </c>
      <c r="D671" s="38" t="s">
        <v>515</v>
      </c>
      <c r="E671" s="39">
        <v>2.4</v>
      </c>
      <c r="F671" s="39"/>
      <c r="G671" s="39">
        <f>SmtRes!CX243</f>
        <v>2.4E-2</v>
      </c>
      <c r="H671" s="41"/>
      <c r="I671" s="40"/>
      <c r="J671" s="41">
        <f>SmtRes!CZ243</f>
        <v>15.12</v>
      </c>
      <c r="K671" s="40"/>
      <c r="L671" s="41">
        <f>SmtRes!DG243</f>
        <v>0.36</v>
      </c>
    </row>
    <row r="672" spans="1:83" ht="14.25" x14ac:dyDescent="0.2">
      <c r="A672" s="37"/>
      <c r="B672" s="37" t="s">
        <v>709</v>
      </c>
      <c r="C672" s="37" t="s">
        <v>711</v>
      </c>
      <c r="D672" s="38" t="s">
        <v>515</v>
      </c>
      <c r="E672" s="39">
        <v>18.68</v>
      </c>
      <c r="F672" s="39"/>
      <c r="G672" s="39">
        <f>SmtRes!CX244</f>
        <v>0.18679999999999999</v>
      </c>
      <c r="H672" s="41">
        <f>SmtRes!CZ244</f>
        <v>346.73</v>
      </c>
      <c r="I672" s="40">
        <f>SmtRes!AJ244</f>
        <v>1.36</v>
      </c>
      <c r="J672" s="41">
        <f>ROUND(H672*I672, 2)</f>
        <v>471.55</v>
      </c>
      <c r="K672" s="40"/>
      <c r="L672" s="41">
        <f>SmtRes!DG244</f>
        <v>88.09</v>
      </c>
    </row>
    <row r="673" spans="1:83" ht="14.25" x14ac:dyDescent="0.2">
      <c r="A673" s="37"/>
      <c r="B673" s="37" t="s">
        <v>523</v>
      </c>
      <c r="C673" s="37" t="s">
        <v>838</v>
      </c>
      <c r="D673" s="38" t="s">
        <v>509</v>
      </c>
      <c r="E673" s="39">
        <f>SmtRes!DO244*SmtRes!AT244</f>
        <v>18.68</v>
      </c>
      <c r="F673" s="39"/>
      <c r="G673" s="39">
        <f>SmtRes!DO244*SmtRes!CX244</f>
        <v>0.18679999999999999</v>
      </c>
      <c r="H673" s="41"/>
      <c r="I673" s="40"/>
      <c r="J673" s="41">
        <f>ROUND(SmtRes!AG244/SmtRes!DO244, 2)</f>
        <v>490.55</v>
      </c>
      <c r="K673" s="40"/>
      <c r="L673" s="41">
        <f>SmtRes!DH244</f>
        <v>91.63</v>
      </c>
      <c r="CE673">
        <v>1</v>
      </c>
    </row>
    <row r="674" spans="1:83" ht="14.25" x14ac:dyDescent="0.2">
      <c r="A674" s="37"/>
      <c r="B674" s="37" t="s">
        <v>520</v>
      </c>
      <c r="C674" s="37" t="s">
        <v>522</v>
      </c>
      <c r="D674" s="38" t="s">
        <v>515</v>
      </c>
      <c r="E674" s="39">
        <v>0.52</v>
      </c>
      <c r="F674" s="39"/>
      <c r="G674" s="39">
        <f>SmtRes!CX245</f>
        <v>5.1999999999999998E-3</v>
      </c>
      <c r="H674" s="41">
        <f>SmtRes!CZ245</f>
        <v>477.92</v>
      </c>
      <c r="I674" s="40">
        <f>SmtRes!AJ245</f>
        <v>1.21</v>
      </c>
      <c r="J674" s="41">
        <f>ROUND(H674*I674, 2)</f>
        <v>578.28</v>
      </c>
      <c r="K674" s="40"/>
      <c r="L674" s="41">
        <f>SmtRes!DG245</f>
        <v>3.01</v>
      </c>
    </row>
    <row r="675" spans="1:83" ht="14.25" x14ac:dyDescent="0.2">
      <c r="A675" s="37"/>
      <c r="B675" s="37" t="s">
        <v>523</v>
      </c>
      <c r="C675" s="37" t="s">
        <v>838</v>
      </c>
      <c r="D675" s="38" t="s">
        <v>509</v>
      </c>
      <c r="E675" s="39">
        <f>SmtRes!DO245*SmtRes!AT245</f>
        <v>0.52</v>
      </c>
      <c r="F675" s="39"/>
      <c r="G675" s="39">
        <f>SmtRes!DO245*SmtRes!CX245</f>
        <v>5.1999999999999998E-3</v>
      </c>
      <c r="H675" s="41"/>
      <c r="I675" s="40"/>
      <c r="J675" s="41">
        <f>ROUND(SmtRes!AG245/SmtRes!DO245, 2)</f>
        <v>490.55</v>
      </c>
      <c r="K675" s="40"/>
      <c r="L675" s="41">
        <f>SmtRes!DH245</f>
        <v>2.5499999999999998</v>
      </c>
      <c r="CE675">
        <v>1</v>
      </c>
    </row>
    <row r="676" spans="1:83" ht="28.5" x14ac:dyDescent="0.2">
      <c r="A676" s="37"/>
      <c r="B676" s="37" t="s">
        <v>712</v>
      </c>
      <c r="C676" s="37" t="s">
        <v>714</v>
      </c>
      <c r="D676" s="38" t="s">
        <v>515</v>
      </c>
      <c r="E676" s="39">
        <v>2.4</v>
      </c>
      <c r="F676" s="39"/>
      <c r="G676" s="39">
        <f>SmtRes!CX246</f>
        <v>2.4E-2</v>
      </c>
      <c r="H676" s="41"/>
      <c r="I676" s="40"/>
      <c r="J676" s="41">
        <f>SmtRes!CZ246</f>
        <v>176.5</v>
      </c>
      <c r="K676" s="40"/>
      <c r="L676" s="41">
        <f>SmtRes!DG246</f>
        <v>4.24</v>
      </c>
    </row>
    <row r="677" spans="1:83" ht="14.25" x14ac:dyDescent="0.2">
      <c r="A677" s="37"/>
      <c r="B677" s="37" t="s">
        <v>523</v>
      </c>
      <c r="C677" s="45" t="s">
        <v>838</v>
      </c>
      <c r="D677" s="46" t="s">
        <v>509</v>
      </c>
      <c r="E677" s="47">
        <f>SmtRes!DO246*SmtRes!AT246</f>
        <v>2.4</v>
      </c>
      <c r="F677" s="47"/>
      <c r="G677" s="47">
        <f>SmtRes!DO246*SmtRes!CX246</f>
        <v>2.4E-2</v>
      </c>
      <c r="H677" s="48"/>
      <c r="I677" s="49"/>
      <c r="J677" s="48">
        <f>ROUND(SmtRes!AG246/SmtRes!DO246, 2)</f>
        <v>490.55</v>
      </c>
      <c r="K677" s="49"/>
      <c r="L677" s="48">
        <f>SmtRes!DH246</f>
        <v>11.77</v>
      </c>
      <c r="CE677">
        <v>1</v>
      </c>
    </row>
    <row r="678" spans="1:83" ht="15" x14ac:dyDescent="0.2">
      <c r="A678" s="37"/>
      <c r="B678" s="37"/>
      <c r="C678" s="51" t="s">
        <v>841</v>
      </c>
      <c r="D678" s="38"/>
      <c r="E678" s="39"/>
      <c r="F678" s="39"/>
      <c r="G678" s="39"/>
      <c r="H678" s="41"/>
      <c r="I678" s="40"/>
      <c r="J678" s="41"/>
      <c r="K678" s="40"/>
      <c r="L678" s="41">
        <f>L662+L667+L668</f>
        <v>591.69999999999993</v>
      </c>
    </row>
    <row r="679" spans="1:83" ht="14.25" x14ac:dyDescent="0.2">
      <c r="A679" s="37"/>
      <c r="B679" s="37"/>
      <c r="C679" s="37" t="s">
        <v>842</v>
      </c>
      <c r="D679" s="38"/>
      <c r="E679" s="39"/>
      <c r="F679" s="39"/>
      <c r="G679" s="39"/>
      <c r="H679" s="41"/>
      <c r="I679" s="40"/>
      <c r="J679" s="41"/>
      <c r="K679" s="40"/>
      <c r="L679" s="41">
        <f>SUM(AR661:AR682)+SUM(AS661:AS682)+SUM(AT661:AT682)+SUM(AU661:AU682)+SUM(AV661:AV682)</f>
        <v>486.06999999999994</v>
      </c>
    </row>
    <row r="680" spans="1:83" ht="14.25" x14ac:dyDescent="0.2">
      <c r="A680" s="37"/>
      <c r="B680" s="37" t="s">
        <v>241</v>
      </c>
      <c r="C680" s="37" t="s">
        <v>914</v>
      </c>
      <c r="D680" s="38" t="s">
        <v>669</v>
      </c>
      <c r="E680" s="39">
        <f>Source!BZ167</f>
        <v>103</v>
      </c>
      <c r="F680" s="39"/>
      <c r="G680" s="39">
        <f>Source!AT167</f>
        <v>103</v>
      </c>
      <c r="H680" s="41"/>
      <c r="I680" s="40"/>
      <c r="J680" s="41"/>
      <c r="K680" s="40"/>
      <c r="L680" s="41">
        <f>SUM(AZ661:AZ682)</f>
        <v>500.65</v>
      </c>
    </row>
    <row r="681" spans="1:83" ht="14.25" x14ac:dyDescent="0.2">
      <c r="A681" s="45"/>
      <c r="B681" s="45" t="s">
        <v>242</v>
      </c>
      <c r="C681" s="45" t="s">
        <v>915</v>
      </c>
      <c r="D681" s="46" t="s">
        <v>669</v>
      </c>
      <c r="E681" s="47">
        <f>Source!CA167</f>
        <v>60</v>
      </c>
      <c r="F681" s="47"/>
      <c r="G681" s="47">
        <f>Source!AU167</f>
        <v>60</v>
      </c>
      <c r="H681" s="48"/>
      <c r="I681" s="49"/>
      <c r="J681" s="48"/>
      <c r="K681" s="49"/>
      <c r="L681" s="48">
        <f>SUM(BA661:BA682)</f>
        <v>291.64</v>
      </c>
    </row>
    <row r="682" spans="1:83" ht="15" x14ac:dyDescent="0.2">
      <c r="C682" s="112" t="s">
        <v>845</v>
      </c>
      <c r="D682" s="112"/>
      <c r="E682" s="112"/>
      <c r="F682" s="112"/>
      <c r="G682" s="112"/>
      <c r="H682" s="112"/>
      <c r="I682" s="113">
        <f>K682/E661</f>
        <v>138399</v>
      </c>
      <c r="J682" s="113"/>
      <c r="K682" s="113">
        <f>L662+L667+L680+L681+L668</f>
        <v>1383.99</v>
      </c>
      <c r="L682" s="113"/>
      <c r="AD682">
        <f>ROUND((Source!AT167/100)*((ROUND(SUMIF(SmtRes!AQ237:'SmtRes'!AQ246,"=1",SmtRes!AD237:'SmtRes'!AD246)*Source!I167, 2)+ROUND(SUMIF(SmtRes!AQ237:'SmtRes'!AQ246,"=1",SmtRes!AC237:'SmtRes'!AC246)*Source!I167, 2))), 2)</f>
        <v>41.41</v>
      </c>
      <c r="AE682">
        <f>ROUND((Source!AU167/100)*((ROUND(SUMIF(SmtRes!AQ237:'SmtRes'!AQ246,"=1",SmtRes!AD237:'SmtRes'!AD246)*Source!I167, 2)+ROUND(SUMIF(SmtRes!AQ237:'SmtRes'!AQ246,"=1",SmtRes!AC237:'SmtRes'!AC246)*Source!I167, 2))), 2)</f>
        <v>24.12</v>
      </c>
      <c r="AN682" s="50">
        <f>L662+L667+L680+L681+L668</f>
        <v>1383.99</v>
      </c>
      <c r="AO682" s="50">
        <f>L667</f>
        <v>105.62999999999997</v>
      </c>
      <c r="AQ682" t="s">
        <v>846</v>
      </c>
      <c r="AR682" s="50">
        <f>L662</f>
        <v>375.9</v>
      </c>
      <c r="AT682" s="50">
        <f>L668</f>
        <v>110.16999999999999</v>
      </c>
      <c r="AV682" t="s">
        <v>846</v>
      </c>
      <c r="AW682">
        <f>0</f>
        <v>0</v>
      </c>
      <c r="AZ682">
        <f>Source!X167</f>
        <v>500.65</v>
      </c>
      <c r="BA682">
        <f>Source!Y167</f>
        <v>291.64</v>
      </c>
      <c r="CD682">
        <v>1</v>
      </c>
    </row>
    <row r="683" spans="1:83" ht="28.5" x14ac:dyDescent="0.2">
      <c r="A683" s="35" t="s">
        <v>276</v>
      </c>
      <c r="B683" s="37" t="s">
        <v>917</v>
      </c>
      <c r="C683" s="37" t="str">
        <f>Source!G168</f>
        <v>Изолятор опорный напряжением: до 10 кВ</v>
      </c>
      <c r="D683" s="38" t="str">
        <f>Source!H168</f>
        <v>ШТ</v>
      </c>
      <c r="E683" s="39">
        <f>Source!K168</f>
        <v>3</v>
      </c>
      <c r="F683" s="39"/>
      <c r="G683" s="39">
        <f>Source!I168</f>
        <v>3</v>
      </c>
      <c r="H683" s="41"/>
      <c r="I683" s="40"/>
      <c r="J683" s="41"/>
      <c r="K683" s="40"/>
      <c r="L683" s="41"/>
    </row>
    <row r="684" spans="1:83" ht="15" x14ac:dyDescent="0.2">
      <c r="A684" s="36"/>
      <c r="B684" s="39">
        <v>1</v>
      </c>
      <c r="C684" s="36" t="s">
        <v>835</v>
      </c>
      <c r="D684" s="38" t="s">
        <v>509</v>
      </c>
      <c r="E684" s="43"/>
      <c r="F684" s="39"/>
      <c r="G684" s="43">
        <f>Source!U168</f>
        <v>1.2</v>
      </c>
      <c r="H684" s="39"/>
      <c r="I684" s="39"/>
      <c r="J684" s="39"/>
      <c r="K684" s="39"/>
      <c r="L684" s="44">
        <f>SUM(L685:L685)-SUMIF(CE685:CE685, 1, L685:L685)</f>
        <v>588.66</v>
      </c>
    </row>
    <row r="685" spans="1:83" ht="14.25" x14ac:dyDescent="0.2">
      <c r="A685" s="37"/>
      <c r="B685" s="37" t="s">
        <v>653</v>
      </c>
      <c r="C685" s="37" t="s">
        <v>654</v>
      </c>
      <c r="D685" s="38" t="s">
        <v>509</v>
      </c>
      <c r="E685" s="39">
        <v>0.4</v>
      </c>
      <c r="F685" s="39"/>
      <c r="G685" s="39">
        <f>SmtRes!CX247</f>
        <v>1.2</v>
      </c>
      <c r="H685" s="41"/>
      <c r="I685" s="40"/>
      <c r="J685" s="41">
        <f>SmtRes!CZ247</f>
        <v>490.55</v>
      </c>
      <c r="K685" s="40"/>
      <c r="L685" s="41">
        <f>SmtRes!DI247</f>
        <v>588.66</v>
      </c>
    </row>
    <row r="686" spans="1:83" ht="15" x14ac:dyDescent="0.2">
      <c r="A686" s="36"/>
      <c r="B686" s="39">
        <v>2</v>
      </c>
      <c r="C686" s="36" t="s">
        <v>836</v>
      </c>
      <c r="D686" s="38"/>
      <c r="E686" s="43"/>
      <c r="F686" s="39"/>
      <c r="G686" s="43"/>
      <c r="H686" s="39"/>
      <c r="I686" s="39"/>
      <c r="J686" s="39"/>
      <c r="K686" s="39"/>
      <c r="L686" s="44">
        <f>SUM(L687:L691)-SUMIF(CE687:CE691, 1, L687:L691)</f>
        <v>44.709999999999994</v>
      </c>
    </row>
    <row r="687" spans="1:83" ht="15" x14ac:dyDescent="0.2">
      <c r="A687" s="36"/>
      <c r="B687" s="39"/>
      <c r="C687" s="36" t="s">
        <v>839</v>
      </c>
      <c r="D687" s="38" t="s">
        <v>509</v>
      </c>
      <c r="E687" s="43"/>
      <c r="F687" s="39"/>
      <c r="G687" s="43">
        <f>Source!V168</f>
        <v>4.2000000000000003E-2</v>
      </c>
      <c r="H687" s="39"/>
      <c r="I687" s="39"/>
      <c r="J687" s="39"/>
      <c r="K687" s="39"/>
      <c r="L687" s="44">
        <f>SUMIF(CE688:CE691, 1, L688:L691)</f>
        <v>24.14</v>
      </c>
      <c r="CE687">
        <v>1</v>
      </c>
    </row>
    <row r="688" spans="1:83" ht="28.5" x14ac:dyDescent="0.2">
      <c r="A688" s="37"/>
      <c r="B688" s="37" t="s">
        <v>512</v>
      </c>
      <c r="C688" s="37" t="s">
        <v>514</v>
      </c>
      <c r="D688" s="38" t="s">
        <v>515</v>
      </c>
      <c r="E688" s="39">
        <v>7.0000000000000001E-3</v>
      </c>
      <c r="F688" s="39"/>
      <c r="G688" s="39">
        <f>SmtRes!CX249</f>
        <v>2.1000000000000001E-2</v>
      </c>
      <c r="H688" s="41"/>
      <c r="I688" s="40"/>
      <c r="J688" s="41">
        <f>SmtRes!CZ249</f>
        <v>1551.19</v>
      </c>
      <c r="K688" s="40"/>
      <c r="L688" s="41">
        <f>SmtRes!DG249</f>
        <v>32.57</v>
      </c>
    </row>
    <row r="689" spans="1:83" ht="14.25" x14ac:dyDescent="0.2">
      <c r="A689" s="37"/>
      <c r="B689" s="37" t="s">
        <v>516</v>
      </c>
      <c r="C689" s="37" t="s">
        <v>837</v>
      </c>
      <c r="D689" s="38" t="s">
        <v>509</v>
      </c>
      <c r="E689" s="39">
        <f>SmtRes!DO249*SmtRes!AT249</f>
        <v>7.0000000000000001E-3</v>
      </c>
      <c r="F689" s="39"/>
      <c r="G689" s="39">
        <f>SmtRes!DO249*SmtRes!CX249</f>
        <v>2.1000000000000001E-2</v>
      </c>
      <c r="H689" s="41"/>
      <c r="I689" s="40"/>
      <c r="J689" s="41">
        <f>ROUND(SmtRes!AG249/SmtRes!DO249, 2)</f>
        <v>658.94</v>
      </c>
      <c r="K689" s="40"/>
      <c r="L689" s="41">
        <f>SmtRes!DH249</f>
        <v>13.84</v>
      </c>
      <c r="CE689">
        <v>1</v>
      </c>
    </row>
    <row r="690" spans="1:83" ht="14.25" x14ac:dyDescent="0.2">
      <c r="A690" s="37"/>
      <c r="B690" s="37" t="s">
        <v>520</v>
      </c>
      <c r="C690" s="37" t="s">
        <v>522</v>
      </c>
      <c r="D690" s="38" t="s">
        <v>515</v>
      </c>
      <c r="E690" s="39">
        <v>7.0000000000000001E-3</v>
      </c>
      <c r="F690" s="39"/>
      <c r="G690" s="39">
        <f>SmtRes!CX250</f>
        <v>2.1000000000000001E-2</v>
      </c>
      <c r="H690" s="41">
        <f>SmtRes!CZ250</f>
        <v>477.92</v>
      </c>
      <c r="I690" s="40">
        <f>SmtRes!AJ250</f>
        <v>1.21</v>
      </c>
      <c r="J690" s="41">
        <f>ROUND(H690*I690, 2)</f>
        <v>578.28</v>
      </c>
      <c r="K690" s="40"/>
      <c r="L690" s="41">
        <f>SmtRes!DG250</f>
        <v>12.14</v>
      </c>
    </row>
    <row r="691" spans="1:83" ht="14.25" x14ac:dyDescent="0.2">
      <c r="A691" s="37"/>
      <c r="B691" s="37" t="s">
        <v>523</v>
      </c>
      <c r="C691" s="37" t="s">
        <v>838</v>
      </c>
      <c r="D691" s="38" t="s">
        <v>509</v>
      </c>
      <c r="E691" s="39">
        <f>SmtRes!DO250*SmtRes!AT250</f>
        <v>7.0000000000000001E-3</v>
      </c>
      <c r="F691" s="39"/>
      <c r="G691" s="39">
        <f>SmtRes!DO250*SmtRes!CX250</f>
        <v>2.1000000000000001E-2</v>
      </c>
      <c r="H691" s="41"/>
      <c r="I691" s="40"/>
      <c r="J691" s="41">
        <f>ROUND(SmtRes!AG250/SmtRes!DO250, 2)</f>
        <v>490.55</v>
      </c>
      <c r="K691" s="40"/>
      <c r="L691" s="41">
        <f>SmtRes!DH250</f>
        <v>10.3</v>
      </c>
      <c r="CE691">
        <v>1</v>
      </c>
    </row>
    <row r="692" spans="1:83" ht="15" x14ac:dyDescent="0.2">
      <c r="A692" s="36"/>
      <c r="B692" s="39">
        <v>4</v>
      </c>
      <c r="C692" s="36" t="s">
        <v>840</v>
      </c>
      <c r="D692" s="38"/>
      <c r="E692" s="43"/>
      <c r="F692" s="39"/>
      <c r="G692" s="43"/>
      <c r="H692" s="39"/>
      <c r="I692" s="39"/>
      <c r="J692" s="39"/>
      <c r="K692" s="39"/>
      <c r="L692" s="44">
        <f>SUM(L693:L693)-SUMIF(CE693:CE693, 1, L693:L693)</f>
        <v>48.28</v>
      </c>
    </row>
    <row r="693" spans="1:83" ht="14.25" x14ac:dyDescent="0.2">
      <c r="A693" s="37"/>
      <c r="B693" s="37" t="s">
        <v>553</v>
      </c>
      <c r="C693" s="45" t="s">
        <v>555</v>
      </c>
      <c r="D693" s="46" t="s">
        <v>549</v>
      </c>
      <c r="E693" s="47">
        <v>0.08</v>
      </c>
      <c r="F693" s="47"/>
      <c r="G693" s="47">
        <f>SmtRes!CX251</f>
        <v>0.24</v>
      </c>
      <c r="H693" s="48">
        <f>SmtRes!CZ251</f>
        <v>174.93</v>
      </c>
      <c r="I693" s="49">
        <f>SmtRes!AI251</f>
        <v>1.1499999999999999</v>
      </c>
      <c r="J693" s="48">
        <f>ROUND(H693*I693, 2)</f>
        <v>201.17</v>
      </c>
      <c r="K693" s="49"/>
      <c r="L693" s="48">
        <f>SmtRes!DF251</f>
        <v>48.28</v>
      </c>
    </row>
    <row r="694" spans="1:83" ht="15" x14ac:dyDescent="0.2">
      <c r="A694" s="37"/>
      <c r="B694" s="37"/>
      <c r="C694" s="51" t="s">
        <v>841</v>
      </c>
      <c r="D694" s="38"/>
      <c r="E694" s="39"/>
      <c r="F694" s="39"/>
      <c r="G694" s="39"/>
      <c r="H694" s="41"/>
      <c r="I694" s="40"/>
      <c r="J694" s="41"/>
      <c r="K694" s="40"/>
      <c r="L694" s="41">
        <f>L684+L686+L687+L692</f>
        <v>705.79</v>
      </c>
    </row>
    <row r="695" spans="1:83" ht="14.25" x14ac:dyDescent="0.2">
      <c r="A695" s="37"/>
      <c r="B695" s="37"/>
      <c r="C695" s="37" t="s">
        <v>842</v>
      </c>
      <c r="D695" s="38"/>
      <c r="E695" s="39"/>
      <c r="F695" s="39"/>
      <c r="G695" s="39"/>
      <c r="H695" s="41"/>
      <c r="I695" s="40"/>
      <c r="J695" s="41"/>
      <c r="K695" s="40"/>
      <c r="L695" s="41">
        <f>SUM(AR683:AR698)+SUM(AS683:AS698)+SUM(AT683:AT698)+SUM(AU683:AU698)+SUM(AV683:AV698)</f>
        <v>612.79999999999995</v>
      </c>
    </row>
    <row r="696" spans="1:83" ht="28.5" x14ac:dyDescent="0.2">
      <c r="A696" s="37"/>
      <c r="B696" s="37" t="s">
        <v>228</v>
      </c>
      <c r="C696" s="37" t="s">
        <v>910</v>
      </c>
      <c r="D696" s="38" t="s">
        <v>669</v>
      </c>
      <c r="E696" s="39">
        <f>Source!BZ168</f>
        <v>97</v>
      </c>
      <c r="F696" s="39"/>
      <c r="G696" s="39">
        <f>Source!AT168</f>
        <v>97</v>
      </c>
      <c r="H696" s="41"/>
      <c r="I696" s="40"/>
      <c r="J696" s="41"/>
      <c r="K696" s="40"/>
      <c r="L696" s="41">
        <f>SUM(AZ683:AZ698)</f>
        <v>594.41999999999996</v>
      </c>
    </row>
    <row r="697" spans="1:83" ht="28.5" x14ac:dyDescent="0.2">
      <c r="A697" s="45"/>
      <c r="B697" s="45" t="s">
        <v>229</v>
      </c>
      <c r="C697" s="45" t="s">
        <v>911</v>
      </c>
      <c r="D697" s="46" t="s">
        <v>669</v>
      </c>
      <c r="E697" s="47">
        <f>Source!CA168</f>
        <v>51</v>
      </c>
      <c r="F697" s="47"/>
      <c r="G697" s="47">
        <f>Source!AU168</f>
        <v>51</v>
      </c>
      <c r="H697" s="48"/>
      <c r="I697" s="49"/>
      <c r="J697" s="48"/>
      <c r="K697" s="49"/>
      <c r="L697" s="48">
        <f>SUM(BA683:BA698)</f>
        <v>312.52999999999997</v>
      </c>
    </row>
    <row r="698" spans="1:83" ht="15" x14ac:dyDescent="0.2">
      <c r="C698" s="112" t="s">
        <v>845</v>
      </c>
      <c r="D698" s="112"/>
      <c r="E698" s="112"/>
      <c r="F698" s="112"/>
      <c r="G698" s="112"/>
      <c r="H698" s="112"/>
      <c r="I698" s="113">
        <f>K698/E683</f>
        <v>537.58000000000004</v>
      </c>
      <c r="J698" s="113"/>
      <c r="K698" s="113">
        <f>L684+L686+L692+L696+L697+L687</f>
        <v>1612.74</v>
      </c>
      <c r="L698" s="113"/>
      <c r="AD698">
        <f>ROUND((Source!AT168/100)*((ROUND(SUMIF(SmtRes!AQ247:'SmtRes'!AQ251,"=1",SmtRes!AD247:'SmtRes'!AD251)*Source!I168, 2)+ROUND(SUMIF(SmtRes!AQ247:'SmtRes'!AQ251,"=1",SmtRes!AC247:'SmtRes'!AC251)*Source!I168, 2))), 2)</f>
        <v>4772.5200000000004</v>
      </c>
      <c r="AE698">
        <f>ROUND((Source!AU168/100)*((ROUND(SUMIF(SmtRes!AQ247:'SmtRes'!AQ251,"=1",SmtRes!AD247:'SmtRes'!AD251)*Source!I168, 2)+ROUND(SUMIF(SmtRes!AQ247:'SmtRes'!AQ251,"=1",SmtRes!AC247:'SmtRes'!AC251)*Source!I168, 2))), 2)</f>
        <v>2509.2600000000002</v>
      </c>
      <c r="AN698" s="50">
        <f>L684+L686+L692+L696+L697+L687</f>
        <v>1612.74</v>
      </c>
      <c r="AO698" s="50">
        <f>L686</f>
        <v>44.709999999999994</v>
      </c>
      <c r="AQ698" t="s">
        <v>846</v>
      </c>
      <c r="AR698" s="50">
        <f>L684</f>
        <v>588.66</v>
      </c>
      <c r="AT698" s="50">
        <f>L687</f>
        <v>24.14</v>
      </c>
      <c r="AV698" t="s">
        <v>846</v>
      </c>
      <c r="AW698" s="50">
        <f>L692</f>
        <v>48.28</v>
      </c>
      <c r="AZ698">
        <f>Source!X168</f>
        <v>594.41999999999996</v>
      </c>
      <c r="BA698">
        <f>Source!Y168</f>
        <v>312.52999999999997</v>
      </c>
      <c r="CD698">
        <v>2</v>
      </c>
    </row>
    <row r="699" spans="1:83" ht="28.5" x14ac:dyDescent="0.2">
      <c r="A699" s="35" t="s">
        <v>278</v>
      </c>
      <c r="B699" s="37" t="s">
        <v>923</v>
      </c>
      <c r="C699" s="37" t="str">
        <f>Source!G169</f>
        <v>Кабельные наконечники</v>
      </c>
      <c r="D699" s="38" t="str">
        <f>Source!H169</f>
        <v>100 ШТ</v>
      </c>
      <c r="E699" s="39">
        <f>Source!K169</f>
        <v>0.24</v>
      </c>
      <c r="F699" s="39"/>
      <c r="G699" s="39">
        <f>Source!I169</f>
        <v>0.24</v>
      </c>
      <c r="H699" s="41"/>
      <c r="I699" s="40"/>
      <c r="J699" s="41"/>
      <c r="K699" s="40"/>
      <c r="L699" s="41"/>
    </row>
    <row r="700" spans="1:83" x14ac:dyDescent="0.2">
      <c r="C700" s="58" t="str">
        <f>"Объем: "&amp;Source!I169&amp;"=24/"&amp;"100"</f>
        <v>Объем: 0,24=24/100</v>
      </c>
    </row>
    <row r="701" spans="1:83" ht="15" x14ac:dyDescent="0.2">
      <c r="A701" s="36"/>
      <c r="B701" s="39">
        <v>1</v>
      </c>
      <c r="C701" s="36" t="s">
        <v>835</v>
      </c>
      <c r="D701" s="38" t="s">
        <v>509</v>
      </c>
      <c r="E701" s="43"/>
      <c r="F701" s="39"/>
      <c r="G701" s="43">
        <f>Source!U169</f>
        <v>16.8</v>
      </c>
      <c r="H701" s="39"/>
      <c r="I701" s="39"/>
      <c r="J701" s="39"/>
      <c r="K701" s="39"/>
      <c r="L701" s="44">
        <f>SUM(L702:L702)-SUMIF(CE702:CE702, 1, L702:L702)</f>
        <v>8487.19</v>
      </c>
    </row>
    <row r="702" spans="1:83" ht="14.25" x14ac:dyDescent="0.2">
      <c r="A702" s="37"/>
      <c r="B702" s="37" t="s">
        <v>729</v>
      </c>
      <c r="C702" s="37" t="s">
        <v>730</v>
      </c>
      <c r="D702" s="38" t="s">
        <v>509</v>
      </c>
      <c r="E702" s="39">
        <v>70</v>
      </c>
      <c r="F702" s="39"/>
      <c r="G702" s="39">
        <f>SmtRes!CX252</f>
        <v>16.8</v>
      </c>
      <c r="H702" s="41"/>
      <c r="I702" s="40"/>
      <c r="J702" s="41">
        <f>SmtRes!CZ252</f>
        <v>505.19</v>
      </c>
      <c r="K702" s="40"/>
      <c r="L702" s="41">
        <f>SmtRes!DI252</f>
        <v>8487.19</v>
      </c>
    </row>
    <row r="703" spans="1:83" ht="15" x14ac:dyDescent="0.2">
      <c r="A703" s="36"/>
      <c r="B703" s="39">
        <v>2</v>
      </c>
      <c r="C703" s="36" t="s">
        <v>836</v>
      </c>
      <c r="D703" s="38"/>
      <c r="E703" s="43"/>
      <c r="F703" s="39"/>
      <c r="G703" s="43"/>
      <c r="H703" s="39"/>
      <c r="I703" s="39"/>
      <c r="J703" s="39"/>
      <c r="K703" s="39"/>
      <c r="L703" s="44">
        <f>SUM(L704:L710)-SUMIF(CE704:CE710, 1, L704:L710)</f>
        <v>101.79</v>
      </c>
    </row>
    <row r="704" spans="1:83" ht="15" x14ac:dyDescent="0.2">
      <c r="A704" s="36"/>
      <c r="B704" s="39"/>
      <c r="C704" s="36" t="s">
        <v>839</v>
      </c>
      <c r="D704" s="38" t="s">
        <v>509</v>
      </c>
      <c r="E704" s="43"/>
      <c r="F704" s="39"/>
      <c r="G704" s="43">
        <f>Source!V169</f>
        <v>1.9199999999999998E-2</v>
      </c>
      <c r="H704" s="39"/>
      <c r="I704" s="39"/>
      <c r="J704" s="39"/>
      <c r="K704" s="39"/>
      <c r="L704" s="44">
        <f>SUMIF(CE705:CE710, 1, L705:L710)</f>
        <v>11.04</v>
      </c>
      <c r="CE704">
        <v>1</v>
      </c>
    </row>
    <row r="705" spans="1:83" ht="28.5" x14ac:dyDescent="0.2">
      <c r="A705" s="37"/>
      <c r="B705" s="37" t="s">
        <v>512</v>
      </c>
      <c r="C705" s="37" t="s">
        <v>514</v>
      </c>
      <c r="D705" s="38" t="s">
        <v>515</v>
      </c>
      <c r="E705" s="39">
        <v>0.04</v>
      </c>
      <c r="F705" s="39"/>
      <c r="G705" s="39">
        <f>SmtRes!CX254</f>
        <v>9.5999999999999992E-3</v>
      </c>
      <c r="H705" s="41"/>
      <c r="I705" s="40"/>
      <c r="J705" s="41">
        <f>SmtRes!CZ254</f>
        <v>1551.19</v>
      </c>
      <c r="K705" s="40"/>
      <c r="L705" s="41">
        <f>SmtRes!DG254</f>
        <v>14.89</v>
      </c>
    </row>
    <row r="706" spans="1:83" ht="14.25" x14ac:dyDescent="0.2">
      <c r="A706" s="37"/>
      <c r="B706" s="37" t="s">
        <v>516</v>
      </c>
      <c r="C706" s="37" t="s">
        <v>837</v>
      </c>
      <c r="D706" s="38" t="s">
        <v>509</v>
      </c>
      <c r="E706" s="39">
        <f>SmtRes!DO254*SmtRes!AT254</f>
        <v>0.04</v>
      </c>
      <c r="F706" s="39"/>
      <c r="G706" s="39">
        <f>SmtRes!DO254*SmtRes!CX254</f>
        <v>9.5999999999999992E-3</v>
      </c>
      <c r="H706" s="41"/>
      <c r="I706" s="40"/>
      <c r="J706" s="41">
        <f>ROUND(SmtRes!AG254/SmtRes!DO254, 2)</f>
        <v>658.94</v>
      </c>
      <c r="K706" s="40"/>
      <c r="L706" s="41">
        <f>SmtRes!DH254</f>
        <v>6.33</v>
      </c>
      <c r="CE706">
        <v>1</v>
      </c>
    </row>
    <row r="707" spans="1:83" ht="14.25" x14ac:dyDescent="0.2">
      <c r="A707" s="37"/>
      <c r="B707" s="37" t="s">
        <v>520</v>
      </c>
      <c r="C707" s="37" t="s">
        <v>522</v>
      </c>
      <c r="D707" s="38" t="s">
        <v>515</v>
      </c>
      <c r="E707" s="39">
        <v>0.04</v>
      </c>
      <c r="F707" s="39"/>
      <c r="G707" s="39">
        <f>SmtRes!CX255</f>
        <v>9.5999999999999992E-3</v>
      </c>
      <c r="H707" s="41">
        <f>SmtRes!CZ255</f>
        <v>477.92</v>
      </c>
      <c r="I707" s="40">
        <f>SmtRes!AJ255</f>
        <v>1.21</v>
      </c>
      <c r="J707" s="41">
        <f>ROUND(H707*I707, 2)</f>
        <v>578.28</v>
      </c>
      <c r="K707" s="40"/>
      <c r="L707" s="41">
        <f>SmtRes!DG255</f>
        <v>5.55</v>
      </c>
    </row>
    <row r="708" spans="1:83" ht="14.25" x14ac:dyDescent="0.2">
      <c r="A708" s="37"/>
      <c r="B708" s="37" t="s">
        <v>523</v>
      </c>
      <c r="C708" s="37" t="s">
        <v>838</v>
      </c>
      <c r="D708" s="38" t="s">
        <v>509</v>
      </c>
      <c r="E708" s="39">
        <f>SmtRes!DO255*SmtRes!AT255</f>
        <v>0.04</v>
      </c>
      <c r="F708" s="39"/>
      <c r="G708" s="39">
        <f>SmtRes!DO255*SmtRes!CX255</f>
        <v>9.5999999999999992E-3</v>
      </c>
      <c r="H708" s="41"/>
      <c r="I708" s="40"/>
      <c r="J708" s="41">
        <f>ROUND(SmtRes!AG255/SmtRes!DO255, 2)</f>
        <v>490.55</v>
      </c>
      <c r="K708" s="40"/>
      <c r="L708" s="41">
        <f>SmtRes!DH255</f>
        <v>4.71</v>
      </c>
      <c r="CE708">
        <v>1</v>
      </c>
    </row>
    <row r="709" spans="1:83" ht="28.5" x14ac:dyDescent="0.2">
      <c r="A709" s="37"/>
      <c r="B709" s="37" t="s">
        <v>655</v>
      </c>
      <c r="C709" s="37" t="s">
        <v>657</v>
      </c>
      <c r="D709" s="38" t="s">
        <v>515</v>
      </c>
      <c r="E709" s="39">
        <v>6.83</v>
      </c>
      <c r="F709" s="39"/>
      <c r="G709" s="39">
        <f>SmtRes!CX256</f>
        <v>1.6392</v>
      </c>
      <c r="H709" s="41"/>
      <c r="I709" s="40"/>
      <c r="J709" s="41">
        <f>SmtRes!CZ256</f>
        <v>26.32</v>
      </c>
      <c r="K709" s="40"/>
      <c r="L709" s="41">
        <f>SmtRes!DG256</f>
        <v>43.14</v>
      </c>
    </row>
    <row r="710" spans="1:83" ht="14.25" x14ac:dyDescent="0.2">
      <c r="A710" s="37"/>
      <c r="B710" s="37" t="s">
        <v>731</v>
      </c>
      <c r="C710" s="37" t="s">
        <v>733</v>
      </c>
      <c r="D710" s="38" t="s">
        <v>515</v>
      </c>
      <c r="E710" s="39">
        <v>5.6</v>
      </c>
      <c r="F710" s="39"/>
      <c r="G710" s="39">
        <f>SmtRes!CX257</f>
        <v>1.3440000000000001</v>
      </c>
      <c r="H710" s="41">
        <f>SmtRes!CZ257</f>
        <v>23.89</v>
      </c>
      <c r="I710" s="40">
        <f>SmtRes!AJ257</f>
        <v>1.19</v>
      </c>
      <c r="J710" s="41">
        <f>ROUND(H710*I710, 2)</f>
        <v>28.43</v>
      </c>
      <c r="K710" s="40"/>
      <c r="L710" s="41">
        <f>SmtRes!DG257</f>
        <v>38.21</v>
      </c>
    </row>
    <row r="711" spans="1:83" ht="15" x14ac:dyDescent="0.2">
      <c r="A711" s="36"/>
      <c r="B711" s="39">
        <v>4</v>
      </c>
      <c r="C711" s="36" t="s">
        <v>840</v>
      </c>
      <c r="D711" s="38"/>
      <c r="E711" s="43"/>
      <c r="F711" s="39"/>
      <c r="G711" s="43"/>
      <c r="H711" s="39"/>
      <c r="I711" s="39"/>
      <c r="J711" s="39"/>
      <c r="K711" s="39"/>
      <c r="L711" s="44">
        <f>SUM(L712:L719)-SUMIF(CE712:CE719, 1, L712:L719)</f>
        <v>1784.02</v>
      </c>
    </row>
    <row r="712" spans="1:83" ht="14.25" x14ac:dyDescent="0.2">
      <c r="A712" s="37"/>
      <c r="B712" s="37" t="s">
        <v>734</v>
      </c>
      <c r="C712" s="37" t="s">
        <v>736</v>
      </c>
      <c r="D712" s="38" t="s">
        <v>549</v>
      </c>
      <c r="E712" s="39">
        <v>0.7</v>
      </c>
      <c r="F712" s="39"/>
      <c r="G712" s="39">
        <f>SmtRes!CX258</f>
        <v>0.16800000000000001</v>
      </c>
      <c r="H712" s="41">
        <f>SmtRes!CZ258</f>
        <v>150.04</v>
      </c>
      <c r="I712" s="40">
        <f>SmtRes!AI258</f>
        <v>1.77</v>
      </c>
      <c r="J712" s="41">
        <f>ROUND(H712*I712, 2)</f>
        <v>265.57</v>
      </c>
      <c r="K712" s="40"/>
      <c r="L712" s="41">
        <f>SmtRes!DF258</f>
        <v>44.62</v>
      </c>
    </row>
    <row r="713" spans="1:83" ht="14.25" x14ac:dyDescent="0.2">
      <c r="A713" s="37"/>
      <c r="B713" s="37" t="s">
        <v>737</v>
      </c>
      <c r="C713" s="37" t="s">
        <v>739</v>
      </c>
      <c r="D713" s="38" t="s">
        <v>549</v>
      </c>
      <c r="E713" s="39">
        <v>1.26</v>
      </c>
      <c r="F713" s="39"/>
      <c r="G713" s="39">
        <f>SmtRes!CX259</f>
        <v>0.3024</v>
      </c>
      <c r="H713" s="41">
        <f>SmtRes!CZ259</f>
        <v>187.38</v>
      </c>
      <c r="I713" s="40">
        <f>SmtRes!AI259</f>
        <v>0.96</v>
      </c>
      <c r="J713" s="41">
        <f>ROUND(H713*I713, 2)</f>
        <v>179.88</v>
      </c>
      <c r="K713" s="40"/>
      <c r="L713" s="41">
        <f>SmtRes!DF259</f>
        <v>54.4</v>
      </c>
    </row>
    <row r="714" spans="1:83" ht="14.25" x14ac:dyDescent="0.2">
      <c r="A714" s="37"/>
      <c r="B714" s="37" t="s">
        <v>740</v>
      </c>
      <c r="C714" s="37" t="s">
        <v>742</v>
      </c>
      <c r="D714" s="38" t="s">
        <v>743</v>
      </c>
      <c r="E714" s="39">
        <v>3.5760000000000001</v>
      </c>
      <c r="F714" s="39"/>
      <c r="G714" s="39">
        <f>SmtRes!CX260</f>
        <v>0.85824</v>
      </c>
      <c r="H714" s="41"/>
      <c r="I714" s="40"/>
      <c r="J714" s="41">
        <f>SmtRes!CZ260</f>
        <v>5.56</v>
      </c>
      <c r="K714" s="40"/>
      <c r="L714" s="41">
        <f>SmtRes!DF260</f>
        <v>4.7699999999999996</v>
      </c>
    </row>
    <row r="715" spans="1:83" ht="57" x14ac:dyDescent="0.2">
      <c r="A715" s="37"/>
      <c r="B715" s="37" t="s">
        <v>744</v>
      </c>
      <c r="C715" s="37" t="s">
        <v>746</v>
      </c>
      <c r="D715" s="38" t="s">
        <v>747</v>
      </c>
      <c r="E715" s="39">
        <v>81.67</v>
      </c>
      <c r="F715" s="39"/>
      <c r="G715" s="39">
        <f>SmtRes!CX261</f>
        <v>19.6008</v>
      </c>
      <c r="H715" s="41">
        <f>SmtRes!CZ261</f>
        <v>5.87</v>
      </c>
      <c r="I715" s="40">
        <f>SmtRes!AI261</f>
        <v>0.96</v>
      </c>
      <c r="J715" s="41">
        <f>ROUND(H715*I715, 2)</f>
        <v>5.64</v>
      </c>
      <c r="K715" s="40"/>
      <c r="L715" s="41">
        <f>SmtRes!DF261</f>
        <v>110.55</v>
      </c>
    </row>
    <row r="716" spans="1:83" ht="42.75" x14ac:dyDescent="0.2">
      <c r="A716" s="37"/>
      <c r="B716" s="37" t="s">
        <v>550</v>
      </c>
      <c r="C716" s="37" t="s">
        <v>552</v>
      </c>
      <c r="D716" s="38" t="s">
        <v>549</v>
      </c>
      <c r="E716" s="39">
        <v>0.48</v>
      </c>
      <c r="F716" s="39"/>
      <c r="G716" s="39">
        <f>SmtRes!CX262</f>
        <v>0.1152</v>
      </c>
      <c r="H716" s="41">
        <f>SmtRes!CZ262</f>
        <v>155.63</v>
      </c>
      <c r="I716" s="40">
        <f>SmtRes!AI262</f>
        <v>0.95</v>
      </c>
      <c r="J716" s="41">
        <f>ROUND(H716*I716, 2)</f>
        <v>147.85</v>
      </c>
      <c r="K716" s="40"/>
      <c r="L716" s="41">
        <f>SmtRes!DF262</f>
        <v>17.03</v>
      </c>
    </row>
    <row r="717" spans="1:83" ht="42.75" x14ac:dyDescent="0.2">
      <c r="A717" s="37"/>
      <c r="B717" s="37" t="s">
        <v>748</v>
      </c>
      <c r="C717" s="37" t="s">
        <v>750</v>
      </c>
      <c r="D717" s="38" t="s">
        <v>94</v>
      </c>
      <c r="E717" s="39">
        <v>1E-3</v>
      </c>
      <c r="F717" s="39"/>
      <c r="G717" s="39">
        <f>SmtRes!CX263</f>
        <v>2.4000000000000001E-4</v>
      </c>
      <c r="H717" s="41">
        <f>SmtRes!CZ263</f>
        <v>790465.03</v>
      </c>
      <c r="I717" s="40">
        <f>SmtRes!AI263</f>
        <v>0.78</v>
      </c>
      <c r="J717" s="41">
        <f>ROUND(H717*I717, 2)</f>
        <v>616562.72</v>
      </c>
      <c r="K717" s="40"/>
      <c r="L717" s="41">
        <f>SmtRes!DF263</f>
        <v>147.97999999999999</v>
      </c>
    </row>
    <row r="718" spans="1:83" ht="14.25" x14ac:dyDescent="0.2">
      <c r="A718" s="37"/>
      <c r="B718" s="37" t="s">
        <v>751</v>
      </c>
      <c r="C718" s="37" t="s">
        <v>753</v>
      </c>
      <c r="D718" s="38" t="s">
        <v>94</v>
      </c>
      <c r="E718" s="39">
        <v>1.6800000000000001E-3</v>
      </c>
      <c r="F718" s="39"/>
      <c r="G718" s="39">
        <f>SmtRes!CX264</f>
        <v>4.0319999999999999E-4</v>
      </c>
      <c r="H718" s="41">
        <f>SmtRes!CZ264</f>
        <v>308849.7</v>
      </c>
      <c r="I718" s="40">
        <f>SmtRes!AI264</f>
        <v>1.22</v>
      </c>
      <c r="J718" s="41">
        <f>ROUND(H718*I718, 2)</f>
        <v>376796.63</v>
      </c>
      <c r="K718" s="40"/>
      <c r="L718" s="41">
        <f>SmtRes!DF264</f>
        <v>151.91999999999999</v>
      </c>
    </row>
    <row r="719" spans="1:83" ht="28.5" x14ac:dyDescent="0.2">
      <c r="A719" s="37"/>
      <c r="B719" s="37" t="s">
        <v>754</v>
      </c>
      <c r="C719" s="45" t="s">
        <v>756</v>
      </c>
      <c r="D719" s="46" t="s">
        <v>747</v>
      </c>
      <c r="E719" s="47">
        <v>51.3</v>
      </c>
      <c r="F719" s="47"/>
      <c r="G719" s="47">
        <f>SmtRes!CX265</f>
        <v>12.311999999999999</v>
      </c>
      <c r="H719" s="48">
        <f>SmtRes!CZ265</f>
        <v>73.2</v>
      </c>
      <c r="I719" s="49">
        <f>SmtRes!AI265</f>
        <v>1.39</v>
      </c>
      <c r="J719" s="48">
        <f>ROUND(H719*I719, 2)</f>
        <v>101.75</v>
      </c>
      <c r="K719" s="49"/>
      <c r="L719" s="48">
        <f>SmtRes!DF265</f>
        <v>1252.75</v>
      </c>
    </row>
    <row r="720" spans="1:83" ht="15" x14ac:dyDescent="0.2">
      <c r="A720" s="37"/>
      <c r="B720" s="37"/>
      <c r="C720" s="51" t="s">
        <v>841</v>
      </c>
      <c r="D720" s="38"/>
      <c r="E720" s="39"/>
      <c r="F720" s="39"/>
      <c r="G720" s="39"/>
      <c r="H720" s="41"/>
      <c r="I720" s="40"/>
      <c r="J720" s="41"/>
      <c r="K720" s="40"/>
      <c r="L720" s="41">
        <f>L701+L703+L704+L711</f>
        <v>10384.040000000003</v>
      </c>
    </row>
    <row r="721" spans="1:83" ht="14.25" x14ac:dyDescent="0.2">
      <c r="A721" s="37"/>
      <c r="B721" s="37"/>
      <c r="C721" s="37" t="s">
        <v>842</v>
      </c>
      <c r="D721" s="38"/>
      <c r="E721" s="39"/>
      <c r="F721" s="39"/>
      <c r="G721" s="39"/>
      <c r="H721" s="41"/>
      <c r="I721" s="40"/>
      <c r="J721" s="41"/>
      <c r="K721" s="40"/>
      <c r="L721" s="41">
        <f>SUM(AR699:AR724)+SUM(AS699:AS724)+SUM(AT699:AT724)+SUM(AU699:AU724)+SUM(AV699:AV724)</f>
        <v>8498.2300000000014</v>
      </c>
    </row>
    <row r="722" spans="1:83" ht="28.5" x14ac:dyDescent="0.2">
      <c r="A722" s="37"/>
      <c r="B722" s="37" t="s">
        <v>228</v>
      </c>
      <c r="C722" s="37" t="s">
        <v>910</v>
      </c>
      <c r="D722" s="38" t="s">
        <v>669</v>
      </c>
      <c r="E722" s="39">
        <f>Source!BZ169</f>
        <v>97</v>
      </c>
      <c r="F722" s="39"/>
      <c r="G722" s="39">
        <f>Source!AT169</f>
        <v>97</v>
      </c>
      <c r="H722" s="41"/>
      <c r="I722" s="40"/>
      <c r="J722" s="41"/>
      <c r="K722" s="40"/>
      <c r="L722" s="41">
        <f>SUM(AZ699:AZ724)</f>
        <v>8243.2800000000007</v>
      </c>
    </row>
    <row r="723" spans="1:83" ht="28.5" x14ac:dyDescent="0.2">
      <c r="A723" s="45"/>
      <c r="B723" s="45" t="s">
        <v>229</v>
      </c>
      <c r="C723" s="45" t="s">
        <v>911</v>
      </c>
      <c r="D723" s="46" t="s">
        <v>669</v>
      </c>
      <c r="E723" s="47">
        <f>Source!CA169</f>
        <v>51</v>
      </c>
      <c r="F723" s="47"/>
      <c r="G723" s="47">
        <f>Source!AU169</f>
        <v>51</v>
      </c>
      <c r="H723" s="48"/>
      <c r="I723" s="49"/>
      <c r="J723" s="48"/>
      <c r="K723" s="49"/>
      <c r="L723" s="48">
        <f>SUM(BA699:BA724)</f>
        <v>4334.1000000000004</v>
      </c>
    </row>
    <row r="724" spans="1:83" ht="15" x14ac:dyDescent="0.2">
      <c r="C724" s="112" t="s">
        <v>845</v>
      </c>
      <c r="D724" s="112"/>
      <c r="E724" s="112"/>
      <c r="F724" s="112"/>
      <c r="G724" s="112"/>
      <c r="H724" s="112"/>
      <c r="I724" s="113">
        <f>K724/E699</f>
        <v>95672.583333333358</v>
      </c>
      <c r="J724" s="113"/>
      <c r="K724" s="113">
        <f>L701+L703+L711+L722+L723+L704</f>
        <v>22961.420000000006</v>
      </c>
      <c r="L724" s="113"/>
      <c r="AD724">
        <f>ROUND((Source!AT169/100)*((ROUND(SUMIF(SmtRes!AQ252:'SmtRes'!AQ265,"=1",SmtRes!AD252:'SmtRes'!AD265)*Source!I169, 2)+ROUND(SUMIF(SmtRes!AQ252:'SmtRes'!AQ265,"=1",SmtRes!AC252:'SmtRes'!AC265)*Source!I169, 2))), 2)</f>
        <v>385.22</v>
      </c>
      <c r="AE724">
        <f>ROUND((Source!AU169/100)*((ROUND(SUMIF(SmtRes!AQ252:'SmtRes'!AQ265,"=1",SmtRes!AD252:'SmtRes'!AD265)*Source!I169, 2)+ROUND(SUMIF(SmtRes!AQ252:'SmtRes'!AQ265,"=1",SmtRes!AC252:'SmtRes'!AC265)*Source!I169, 2))), 2)</f>
        <v>202.54</v>
      </c>
      <c r="AN724" s="50">
        <f>L701+L703+L711+L722+L723+L704</f>
        <v>22961.420000000006</v>
      </c>
      <c r="AO724" s="50">
        <f>L703</f>
        <v>101.79</v>
      </c>
      <c r="AQ724" t="s">
        <v>846</v>
      </c>
      <c r="AR724" s="50">
        <f>L701</f>
        <v>8487.19</v>
      </c>
      <c r="AT724" s="50">
        <f>L704</f>
        <v>11.04</v>
      </c>
      <c r="AV724" t="s">
        <v>846</v>
      </c>
      <c r="AW724" s="50">
        <f>L711</f>
        <v>1784.02</v>
      </c>
      <c r="AZ724">
        <f>Source!X169</f>
        <v>8243.2800000000007</v>
      </c>
      <c r="BA724">
        <f>Source!Y169</f>
        <v>4334.1000000000004</v>
      </c>
      <c r="CD724">
        <v>2</v>
      </c>
    </row>
    <row r="725" spans="1:83" ht="28.5" x14ac:dyDescent="0.2">
      <c r="A725" s="35" t="s">
        <v>282</v>
      </c>
      <c r="B725" s="37" t="s">
        <v>918</v>
      </c>
      <c r="C725" s="37" t="str">
        <f>Source!G170</f>
        <v>Заземлитель вертикальный из угловой стали размером: 63х63х6 мм</v>
      </c>
      <c r="D725" s="38" t="str">
        <f>Source!H170</f>
        <v>10 ШТ</v>
      </c>
      <c r="E725" s="39">
        <f>Source!K170</f>
        <v>0.8</v>
      </c>
      <c r="F725" s="39"/>
      <c r="G725" s="39">
        <f>Source!I170</f>
        <v>0.8</v>
      </c>
      <c r="H725" s="41"/>
      <c r="I725" s="40"/>
      <c r="J725" s="41"/>
      <c r="K725" s="40"/>
      <c r="L725" s="41"/>
    </row>
    <row r="726" spans="1:83" x14ac:dyDescent="0.2">
      <c r="C726" s="58" t="str">
        <f>"Объем: "&amp;Source!I170&amp;"=8/"&amp;"10"</f>
        <v>Объем: 0,8=8/10</v>
      </c>
    </row>
    <row r="727" spans="1:83" ht="15" x14ac:dyDescent="0.2">
      <c r="A727" s="36"/>
      <c r="B727" s="39">
        <v>1</v>
      </c>
      <c r="C727" s="36" t="s">
        <v>835</v>
      </c>
      <c r="D727" s="38" t="s">
        <v>509</v>
      </c>
      <c r="E727" s="43"/>
      <c r="F727" s="39"/>
      <c r="G727" s="43">
        <f>Source!U170</f>
        <v>8.24</v>
      </c>
      <c r="H727" s="39"/>
      <c r="I727" s="39"/>
      <c r="J727" s="39"/>
      <c r="K727" s="39"/>
      <c r="L727" s="44">
        <f>SUM(L728:L728)-SUMIF(CE728:CE728, 1, L728:L728)</f>
        <v>3951.57</v>
      </c>
    </row>
    <row r="728" spans="1:83" ht="14.25" x14ac:dyDescent="0.2">
      <c r="A728" s="37"/>
      <c r="B728" s="37" t="s">
        <v>715</v>
      </c>
      <c r="C728" s="37" t="s">
        <v>716</v>
      </c>
      <c r="D728" s="38" t="s">
        <v>509</v>
      </c>
      <c r="E728" s="39">
        <v>10.3</v>
      </c>
      <c r="F728" s="39"/>
      <c r="G728" s="39">
        <f>SmtRes!CX266</f>
        <v>8.24</v>
      </c>
      <c r="H728" s="41"/>
      <c r="I728" s="40"/>
      <c r="J728" s="41">
        <f>SmtRes!CZ266</f>
        <v>479.56</v>
      </c>
      <c r="K728" s="40"/>
      <c r="L728" s="41">
        <f>SmtRes!DI266</f>
        <v>3951.57</v>
      </c>
    </row>
    <row r="729" spans="1:83" ht="15" x14ac:dyDescent="0.2">
      <c r="A729" s="36"/>
      <c r="B729" s="39">
        <v>2</v>
      </c>
      <c r="C729" s="36" t="s">
        <v>836</v>
      </c>
      <c r="D729" s="38"/>
      <c r="E729" s="43"/>
      <c r="F729" s="39"/>
      <c r="G729" s="43"/>
      <c r="H729" s="39"/>
      <c r="I729" s="39"/>
      <c r="J729" s="39"/>
      <c r="K729" s="39"/>
      <c r="L729" s="44">
        <f>SUM(L730:L735)-SUMIF(CE730:CE735, 1, L730:L735)</f>
        <v>491.76000000000005</v>
      </c>
    </row>
    <row r="730" spans="1:83" ht="15" x14ac:dyDescent="0.2">
      <c r="A730" s="36"/>
      <c r="B730" s="39"/>
      <c r="C730" s="36" t="s">
        <v>839</v>
      </c>
      <c r="D730" s="38" t="s">
        <v>509</v>
      </c>
      <c r="E730" s="43"/>
      <c r="F730" s="39"/>
      <c r="G730" s="43">
        <f>Source!V170</f>
        <v>0.432</v>
      </c>
      <c r="H730" s="39"/>
      <c r="I730" s="39"/>
      <c r="J730" s="39"/>
      <c r="K730" s="39"/>
      <c r="L730" s="44">
        <f>SUMIF(CE731:CE735, 1, L731:L735)</f>
        <v>248.29000000000002</v>
      </c>
      <c r="CE730">
        <v>1</v>
      </c>
    </row>
    <row r="731" spans="1:83" ht="28.5" x14ac:dyDescent="0.2">
      <c r="A731" s="37"/>
      <c r="B731" s="37" t="s">
        <v>512</v>
      </c>
      <c r="C731" s="37" t="s">
        <v>514</v>
      </c>
      <c r="D731" s="38" t="s">
        <v>515</v>
      </c>
      <c r="E731" s="39">
        <v>0.27</v>
      </c>
      <c r="F731" s="39"/>
      <c r="G731" s="39">
        <f>SmtRes!CX268</f>
        <v>0.216</v>
      </c>
      <c r="H731" s="41"/>
      <c r="I731" s="40"/>
      <c r="J731" s="41">
        <f>SmtRes!CZ268</f>
        <v>1551.19</v>
      </c>
      <c r="K731" s="40"/>
      <c r="L731" s="41">
        <f>SmtRes!DG268</f>
        <v>335.06</v>
      </c>
    </row>
    <row r="732" spans="1:83" ht="14.25" x14ac:dyDescent="0.2">
      <c r="A732" s="37"/>
      <c r="B732" s="37" t="s">
        <v>516</v>
      </c>
      <c r="C732" s="37" t="s">
        <v>837</v>
      </c>
      <c r="D732" s="38" t="s">
        <v>509</v>
      </c>
      <c r="E732" s="39">
        <f>SmtRes!DO268*SmtRes!AT268</f>
        <v>0.27</v>
      </c>
      <c r="F732" s="39"/>
      <c r="G732" s="39">
        <f>SmtRes!DO268*SmtRes!CX268</f>
        <v>0.216</v>
      </c>
      <c r="H732" s="41"/>
      <c r="I732" s="40"/>
      <c r="J732" s="41">
        <f>ROUND(SmtRes!AG268/SmtRes!DO268, 2)</f>
        <v>658.94</v>
      </c>
      <c r="K732" s="40"/>
      <c r="L732" s="41">
        <f>SmtRes!DH268</f>
        <v>142.33000000000001</v>
      </c>
      <c r="CE732">
        <v>1</v>
      </c>
    </row>
    <row r="733" spans="1:83" ht="14.25" x14ac:dyDescent="0.2">
      <c r="A733" s="37"/>
      <c r="B733" s="37" t="s">
        <v>520</v>
      </c>
      <c r="C733" s="37" t="s">
        <v>522</v>
      </c>
      <c r="D733" s="38" t="s">
        <v>515</v>
      </c>
      <c r="E733" s="39">
        <v>0.27</v>
      </c>
      <c r="F733" s="39"/>
      <c r="G733" s="39">
        <f>SmtRes!CX269</f>
        <v>0.216</v>
      </c>
      <c r="H733" s="41">
        <f>SmtRes!CZ269</f>
        <v>477.92</v>
      </c>
      <c r="I733" s="40">
        <f>SmtRes!AJ269</f>
        <v>1.21</v>
      </c>
      <c r="J733" s="41">
        <f>ROUND(H733*I733, 2)</f>
        <v>578.28</v>
      </c>
      <c r="K733" s="40"/>
      <c r="L733" s="41">
        <f>SmtRes!DG269</f>
        <v>124.91</v>
      </c>
    </row>
    <row r="734" spans="1:83" ht="14.25" x14ac:dyDescent="0.2">
      <c r="A734" s="37"/>
      <c r="B734" s="37" t="s">
        <v>523</v>
      </c>
      <c r="C734" s="37" t="s">
        <v>838</v>
      </c>
      <c r="D734" s="38" t="s">
        <v>509</v>
      </c>
      <c r="E734" s="39">
        <f>SmtRes!DO269*SmtRes!AT269</f>
        <v>0.27</v>
      </c>
      <c r="F734" s="39"/>
      <c r="G734" s="39">
        <f>SmtRes!DO269*SmtRes!CX269</f>
        <v>0.216</v>
      </c>
      <c r="H734" s="41"/>
      <c r="I734" s="40"/>
      <c r="J734" s="41">
        <f>ROUND(SmtRes!AG269/SmtRes!DO269, 2)</f>
        <v>490.55</v>
      </c>
      <c r="K734" s="40"/>
      <c r="L734" s="41">
        <f>SmtRes!DH269</f>
        <v>105.96</v>
      </c>
      <c r="CE734">
        <v>1</v>
      </c>
    </row>
    <row r="735" spans="1:83" ht="28.5" x14ac:dyDescent="0.2">
      <c r="A735" s="37"/>
      <c r="B735" s="37" t="s">
        <v>655</v>
      </c>
      <c r="C735" s="37" t="s">
        <v>657</v>
      </c>
      <c r="D735" s="38" t="s">
        <v>515</v>
      </c>
      <c r="E735" s="39">
        <v>1.51</v>
      </c>
      <c r="F735" s="39"/>
      <c r="G735" s="39">
        <f>SmtRes!CX270</f>
        <v>1.208</v>
      </c>
      <c r="H735" s="41"/>
      <c r="I735" s="40"/>
      <c r="J735" s="41">
        <f>SmtRes!CZ270</f>
        <v>26.32</v>
      </c>
      <c r="K735" s="40"/>
      <c r="L735" s="41">
        <f>SmtRes!DG270</f>
        <v>31.79</v>
      </c>
    </row>
    <row r="736" spans="1:83" ht="15" x14ac:dyDescent="0.2">
      <c r="A736" s="36"/>
      <c r="B736" s="39">
        <v>4</v>
      </c>
      <c r="C736" s="36" t="s">
        <v>840</v>
      </c>
      <c r="D736" s="38"/>
      <c r="E736" s="43"/>
      <c r="F736" s="39"/>
      <c r="G736" s="43"/>
      <c r="H736" s="39"/>
      <c r="I736" s="39"/>
      <c r="J736" s="39"/>
      <c r="K736" s="39"/>
      <c r="L736" s="44">
        <f>SUM(L737:L738)-SUMIF(CE737:CE738, 1, L737:L738)</f>
        <v>2237.8999999999996</v>
      </c>
    </row>
    <row r="737" spans="1:83" ht="42.75" x14ac:dyDescent="0.2">
      <c r="A737" s="37"/>
      <c r="B737" s="37" t="s">
        <v>550</v>
      </c>
      <c r="C737" s="37" t="s">
        <v>552</v>
      </c>
      <c r="D737" s="38" t="s">
        <v>549</v>
      </c>
      <c r="E737" s="39">
        <v>0.72</v>
      </c>
      <c r="F737" s="39"/>
      <c r="G737" s="39">
        <f>SmtRes!CX271</f>
        <v>0.57599999999999996</v>
      </c>
      <c r="H737" s="41">
        <f>SmtRes!CZ271</f>
        <v>155.63</v>
      </c>
      <c r="I737" s="40">
        <f>SmtRes!AI271</f>
        <v>0.95</v>
      </c>
      <c r="J737" s="41">
        <f>ROUND(H737*I737, 2)</f>
        <v>147.85</v>
      </c>
      <c r="K737" s="40"/>
      <c r="L737" s="41">
        <f>SmtRes!DF271</f>
        <v>85.16</v>
      </c>
    </row>
    <row r="738" spans="1:83" ht="42.75" x14ac:dyDescent="0.2">
      <c r="A738" s="37"/>
      <c r="B738" s="37" t="s">
        <v>717</v>
      </c>
      <c r="C738" s="45" t="s">
        <v>719</v>
      </c>
      <c r="D738" s="46" t="s">
        <v>549</v>
      </c>
      <c r="E738" s="47">
        <v>2.4</v>
      </c>
      <c r="F738" s="47"/>
      <c r="G738" s="47">
        <f>SmtRes!CX272</f>
        <v>1.92</v>
      </c>
      <c r="H738" s="48">
        <f>SmtRes!CZ272</f>
        <v>911.56</v>
      </c>
      <c r="I738" s="49">
        <f>SmtRes!AI272</f>
        <v>1.23</v>
      </c>
      <c r="J738" s="48">
        <f>ROUND(H738*I738, 2)</f>
        <v>1121.22</v>
      </c>
      <c r="K738" s="49"/>
      <c r="L738" s="48">
        <f>SmtRes!DF272</f>
        <v>2152.7399999999998</v>
      </c>
    </row>
    <row r="739" spans="1:83" ht="15" x14ac:dyDescent="0.2">
      <c r="A739" s="37"/>
      <c r="B739" s="37"/>
      <c r="C739" s="51" t="s">
        <v>841</v>
      </c>
      <c r="D739" s="38"/>
      <c r="E739" s="39"/>
      <c r="F739" s="39"/>
      <c r="G739" s="39"/>
      <c r="H739" s="41"/>
      <c r="I739" s="40"/>
      <c r="J739" s="41"/>
      <c r="K739" s="40"/>
      <c r="L739" s="41">
        <f>L727+L729+L730+L736</f>
        <v>6929.5199999999995</v>
      </c>
    </row>
    <row r="740" spans="1:83" ht="14.25" x14ac:dyDescent="0.2">
      <c r="A740" s="37"/>
      <c r="B740" s="37"/>
      <c r="C740" s="37" t="s">
        <v>842</v>
      </c>
      <c r="D740" s="38"/>
      <c r="E740" s="39"/>
      <c r="F740" s="39"/>
      <c r="G740" s="39"/>
      <c r="H740" s="41"/>
      <c r="I740" s="40"/>
      <c r="J740" s="41"/>
      <c r="K740" s="40"/>
      <c r="L740" s="41">
        <f>SUM(AR725:AR743)+SUM(AS725:AS743)+SUM(AT725:AT743)+SUM(AU725:AU743)+SUM(AV725:AV743)</f>
        <v>4199.8600000000006</v>
      </c>
    </row>
    <row r="741" spans="1:83" ht="28.5" x14ac:dyDescent="0.2">
      <c r="A741" s="37"/>
      <c r="B741" s="37" t="s">
        <v>228</v>
      </c>
      <c r="C741" s="37" t="s">
        <v>910</v>
      </c>
      <c r="D741" s="38" t="s">
        <v>669</v>
      </c>
      <c r="E741" s="39">
        <f>Source!BZ170</f>
        <v>97</v>
      </c>
      <c r="F741" s="39"/>
      <c r="G741" s="39">
        <f>Source!AT170</f>
        <v>97</v>
      </c>
      <c r="H741" s="41"/>
      <c r="I741" s="40"/>
      <c r="J741" s="41"/>
      <c r="K741" s="40"/>
      <c r="L741" s="41">
        <f>SUM(AZ725:AZ743)</f>
        <v>4073.86</v>
      </c>
    </row>
    <row r="742" spans="1:83" ht="28.5" x14ac:dyDescent="0.2">
      <c r="A742" s="45"/>
      <c r="B742" s="45" t="s">
        <v>229</v>
      </c>
      <c r="C742" s="45" t="s">
        <v>911</v>
      </c>
      <c r="D742" s="46" t="s">
        <v>669</v>
      </c>
      <c r="E742" s="47">
        <f>Source!CA170</f>
        <v>51</v>
      </c>
      <c r="F742" s="47"/>
      <c r="G742" s="47">
        <f>Source!AU170</f>
        <v>51</v>
      </c>
      <c r="H742" s="48"/>
      <c r="I742" s="49"/>
      <c r="J742" s="48"/>
      <c r="K742" s="49"/>
      <c r="L742" s="48">
        <f>SUM(BA725:BA743)</f>
        <v>2141.9299999999998</v>
      </c>
    </row>
    <row r="743" spans="1:83" ht="15" x14ac:dyDescent="0.2">
      <c r="C743" s="112" t="s">
        <v>845</v>
      </c>
      <c r="D743" s="112"/>
      <c r="E743" s="112"/>
      <c r="F743" s="112"/>
      <c r="G743" s="112"/>
      <c r="H743" s="112"/>
      <c r="I743" s="113">
        <f>K743/E725</f>
        <v>16431.637500000001</v>
      </c>
      <c r="J743" s="113"/>
      <c r="K743" s="113">
        <f>L727+L729+L736+L741+L742+L730</f>
        <v>13145.310000000001</v>
      </c>
      <c r="L743" s="113"/>
      <c r="AD743">
        <f>ROUND((Source!AT170/100)*((ROUND(SUMIF(SmtRes!AQ266:'SmtRes'!AQ272,"=1",SmtRes!AD266:'SmtRes'!AD272)*Source!I170, 2)+ROUND(SUMIF(SmtRes!AQ266:'SmtRes'!AQ272,"=1",SmtRes!AC266:'SmtRes'!AC272)*Source!I170, 2))), 2)</f>
        <v>1264.1400000000001</v>
      </c>
      <c r="AE743">
        <f>ROUND((Source!AU170/100)*((ROUND(SUMIF(SmtRes!AQ266:'SmtRes'!AQ272,"=1",SmtRes!AD266:'SmtRes'!AD272)*Source!I170, 2)+ROUND(SUMIF(SmtRes!AQ266:'SmtRes'!AQ272,"=1",SmtRes!AC266:'SmtRes'!AC272)*Source!I170, 2))), 2)</f>
        <v>664.65</v>
      </c>
      <c r="AN743" s="50">
        <f>L727+L729+L736+L741+L742+L730</f>
        <v>13145.310000000001</v>
      </c>
      <c r="AO743" s="50">
        <f>L729</f>
        <v>491.76000000000005</v>
      </c>
      <c r="AQ743" t="s">
        <v>846</v>
      </c>
      <c r="AR743" s="50">
        <f>L727</f>
        <v>3951.57</v>
      </c>
      <c r="AT743" s="50">
        <f>L730</f>
        <v>248.29000000000002</v>
      </c>
      <c r="AV743" t="s">
        <v>846</v>
      </c>
      <c r="AW743" s="50">
        <f>L736</f>
        <v>2237.8999999999996</v>
      </c>
      <c r="AZ743">
        <f>Source!X170</f>
        <v>4073.86</v>
      </c>
      <c r="BA743">
        <f>Source!Y170</f>
        <v>2141.9299999999998</v>
      </c>
      <c r="CD743">
        <v>2</v>
      </c>
    </row>
    <row r="744" spans="1:83" ht="42.75" x14ac:dyDescent="0.2">
      <c r="A744" s="35" t="s">
        <v>284</v>
      </c>
      <c r="B744" s="37" t="s">
        <v>919</v>
      </c>
      <c r="C744" s="37" t="str">
        <f>Source!G171</f>
        <v>Проводник заземляющий открыто по строительным основаниям: из полосовой стали сечением 160 мм2</v>
      </c>
      <c r="D744" s="38" t="str">
        <f>Source!H171</f>
        <v>100 м</v>
      </c>
      <c r="E744" s="39">
        <f>Source!K171</f>
        <v>0.42</v>
      </c>
      <c r="F744" s="39"/>
      <c r="G744" s="39">
        <f>Source!I171</f>
        <v>0.42</v>
      </c>
      <c r="H744" s="41"/>
      <c r="I744" s="40"/>
      <c r="J744" s="41"/>
      <c r="K744" s="40"/>
      <c r="L744" s="41"/>
    </row>
    <row r="745" spans="1:83" x14ac:dyDescent="0.2">
      <c r="C745" s="58" t="str">
        <f>"Объем: "&amp;Source!I171&amp;"=42/"&amp;"100"</f>
        <v>Объем: 0,42=42/100</v>
      </c>
    </row>
    <row r="746" spans="1:83" ht="15" x14ac:dyDescent="0.2">
      <c r="A746" s="36"/>
      <c r="B746" s="39">
        <v>1</v>
      </c>
      <c r="C746" s="36" t="s">
        <v>835</v>
      </c>
      <c r="D746" s="38" t="s">
        <v>509</v>
      </c>
      <c r="E746" s="43"/>
      <c r="F746" s="39"/>
      <c r="G746" s="43">
        <f>Source!U171</f>
        <v>7.77</v>
      </c>
      <c r="H746" s="39"/>
      <c r="I746" s="39"/>
      <c r="J746" s="39"/>
      <c r="K746" s="39"/>
      <c r="L746" s="44">
        <f>SUM(L747:L747)-SUMIF(CE747:CE747, 1, L747:L747)</f>
        <v>3726.18</v>
      </c>
    </row>
    <row r="747" spans="1:83" ht="14.25" x14ac:dyDescent="0.2">
      <c r="A747" s="37"/>
      <c r="B747" s="37" t="s">
        <v>715</v>
      </c>
      <c r="C747" s="37" t="s">
        <v>716</v>
      </c>
      <c r="D747" s="38" t="s">
        <v>509</v>
      </c>
      <c r="E747" s="39">
        <v>18.5</v>
      </c>
      <c r="F747" s="39"/>
      <c r="G747" s="39">
        <f>SmtRes!CX273</f>
        <v>7.77</v>
      </c>
      <c r="H747" s="41"/>
      <c r="I747" s="40"/>
      <c r="J747" s="41">
        <f>SmtRes!CZ273</f>
        <v>479.56</v>
      </c>
      <c r="K747" s="40"/>
      <c r="L747" s="41">
        <f>SmtRes!DI273</f>
        <v>3726.18</v>
      </c>
    </row>
    <row r="748" spans="1:83" ht="15" x14ac:dyDescent="0.2">
      <c r="A748" s="36"/>
      <c r="B748" s="39">
        <v>2</v>
      </c>
      <c r="C748" s="36" t="s">
        <v>836</v>
      </c>
      <c r="D748" s="38"/>
      <c r="E748" s="43"/>
      <c r="F748" s="39"/>
      <c r="G748" s="43"/>
      <c r="H748" s="39"/>
      <c r="I748" s="39"/>
      <c r="J748" s="39"/>
      <c r="K748" s="39"/>
      <c r="L748" s="44">
        <f>SUM(L749:L754)-SUMIF(CE749:CE754, 1, L749:L754)</f>
        <v>237.76</v>
      </c>
    </row>
    <row r="749" spans="1:83" ht="15" x14ac:dyDescent="0.2">
      <c r="A749" s="36"/>
      <c r="B749" s="39"/>
      <c r="C749" s="36" t="s">
        <v>839</v>
      </c>
      <c r="D749" s="38" t="s">
        <v>509</v>
      </c>
      <c r="E749" s="43"/>
      <c r="F749" s="39"/>
      <c r="G749" s="43">
        <f>Source!V171</f>
        <v>0.19320000000000001</v>
      </c>
      <c r="H749" s="39"/>
      <c r="I749" s="39"/>
      <c r="J749" s="39"/>
      <c r="K749" s="39"/>
      <c r="L749" s="44">
        <f>SUMIF(CE750:CE754, 1, L750:L754)</f>
        <v>111.03999999999999</v>
      </c>
      <c r="CE749">
        <v>1</v>
      </c>
    </row>
    <row r="750" spans="1:83" ht="28.5" x14ac:dyDescent="0.2">
      <c r="A750" s="37"/>
      <c r="B750" s="37" t="s">
        <v>512</v>
      </c>
      <c r="C750" s="37" t="s">
        <v>514</v>
      </c>
      <c r="D750" s="38" t="s">
        <v>515</v>
      </c>
      <c r="E750" s="39">
        <v>0.23</v>
      </c>
      <c r="F750" s="39"/>
      <c r="G750" s="39">
        <f>SmtRes!CX275</f>
        <v>9.6600000000000005E-2</v>
      </c>
      <c r="H750" s="41"/>
      <c r="I750" s="40"/>
      <c r="J750" s="41">
        <f>SmtRes!CZ275</f>
        <v>1551.19</v>
      </c>
      <c r="K750" s="40"/>
      <c r="L750" s="41">
        <f>SmtRes!DG275</f>
        <v>149.84</v>
      </c>
    </row>
    <row r="751" spans="1:83" ht="14.25" x14ac:dyDescent="0.2">
      <c r="A751" s="37"/>
      <c r="B751" s="37" t="s">
        <v>516</v>
      </c>
      <c r="C751" s="37" t="s">
        <v>837</v>
      </c>
      <c r="D751" s="38" t="s">
        <v>509</v>
      </c>
      <c r="E751" s="39">
        <f>SmtRes!DO275*SmtRes!AT275</f>
        <v>0.23</v>
      </c>
      <c r="F751" s="39"/>
      <c r="G751" s="39">
        <f>SmtRes!DO275*SmtRes!CX275</f>
        <v>9.6600000000000005E-2</v>
      </c>
      <c r="H751" s="41"/>
      <c r="I751" s="40"/>
      <c r="J751" s="41">
        <f>ROUND(SmtRes!AG275/SmtRes!DO275, 2)</f>
        <v>658.94</v>
      </c>
      <c r="K751" s="40"/>
      <c r="L751" s="41">
        <f>SmtRes!DH275</f>
        <v>63.65</v>
      </c>
      <c r="CE751">
        <v>1</v>
      </c>
    </row>
    <row r="752" spans="1:83" ht="14.25" x14ac:dyDescent="0.2">
      <c r="A752" s="37"/>
      <c r="B752" s="37" t="s">
        <v>520</v>
      </c>
      <c r="C752" s="37" t="s">
        <v>522</v>
      </c>
      <c r="D752" s="38" t="s">
        <v>515</v>
      </c>
      <c r="E752" s="39">
        <v>0.23</v>
      </c>
      <c r="F752" s="39"/>
      <c r="G752" s="39">
        <f>SmtRes!CX276</f>
        <v>9.6600000000000005E-2</v>
      </c>
      <c r="H752" s="41">
        <f>SmtRes!CZ276</f>
        <v>477.92</v>
      </c>
      <c r="I752" s="40">
        <f>SmtRes!AJ276</f>
        <v>1.21</v>
      </c>
      <c r="J752" s="41">
        <f>ROUND(H752*I752, 2)</f>
        <v>578.28</v>
      </c>
      <c r="K752" s="40"/>
      <c r="L752" s="41">
        <f>SmtRes!DG276</f>
        <v>55.86</v>
      </c>
    </row>
    <row r="753" spans="1:83" ht="14.25" x14ac:dyDescent="0.2">
      <c r="A753" s="37"/>
      <c r="B753" s="37" t="s">
        <v>523</v>
      </c>
      <c r="C753" s="37" t="s">
        <v>838</v>
      </c>
      <c r="D753" s="38" t="s">
        <v>509</v>
      </c>
      <c r="E753" s="39">
        <f>SmtRes!DO276*SmtRes!AT276</f>
        <v>0.23</v>
      </c>
      <c r="F753" s="39"/>
      <c r="G753" s="39">
        <f>SmtRes!DO276*SmtRes!CX276</f>
        <v>9.6600000000000005E-2</v>
      </c>
      <c r="H753" s="41"/>
      <c r="I753" s="40"/>
      <c r="J753" s="41">
        <f>ROUND(SmtRes!AG276/SmtRes!DO276, 2)</f>
        <v>490.55</v>
      </c>
      <c r="K753" s="40"/>
      <c r="L753" s="41">
        <f>SmtRes!DH276</f>
        <v>47.39</v>
      </c>
      <c r="CE753">
        <v>1</v>
      </c>
    </row>
    <row r="754" spans="1:83" ht="28.5" x14ac:dyDescent="0.2">
      <c r="A754" s="37"/>
      <c r="B754" s="37" t="s">
        <v>655</v>
      </c>
      <c r="C754" s="37" t="s">
        <v>657</v>
      </c>
      <c r="D754" s="38" t="s">
        <v>515</v>
      </c>
      <c r="E754" s="39">
        <v>2.9</v>
      </c>
      <c r="F754" s="39"/>
      <c r="G754" s="39">
        <f>SmtRes!CX277</f>
        <v>1.218</v>
      </c>
      <c r="H754" s="41"/>
      <c r="I754" s="40"/>
      <c r="J754" s="41">
        <f>SmtRes!CZ277</f>
        <v>26.32</v>
      </c>
      <c r="K754" s="40"/>
      <c r="L754" s="41">
        <f>SmtRes!DG277</f>
        <v>32.06</v>
      </c>
    </row>
    <row r="755" spans="1:83" ht="15" x14ac:dyDescent="0.2">
      <c r="A755" s="36"/>
      <c r="B755" s="39">
        <v>4</v>
      </c>
      <c r="C755" s="36" t="s">
        <v>840</v>
      </c>
      <c r="D755" s="38"/>
      <c r="E755" s="43"/>
      <c r="F755" s="39"/>
      <c r="G755" s="43"/>
      <c r="H755" s="39"/>
      <c r="I755" s="39"/>
      <c r="J755" s="39"/>
      <c r="K755" s="39"/>
      <c r="L755" s="44">
        <f>SUM(L756:L758)-SUMIF(CE756:CE758, 1, L756:L758)</f>
        <v>1266.5999999999999</v>
      </c>
    </row>
    <row r="756" spans="1:83" ht="42.75" x14ac:dyDescent="0.2">
      <c r="A756" s="37"/>
      <c r="B756" s="37" t="s">
        <v>550</v>
      </c>
      <c r="C756" s="37" t="s">
        <v>552</v>
      </c>
      <c r="D756" s="38" t="s">
        <v>549</v>
      </c>
      <c r="E756" s="39">
        <v>1.3</v>
      </c>
      <c r="F756" s="39"/>
      <c r="G756" s="39">
        <f>SmtRes!CX278</f>
        <v>0.54600000000000004</v>
      </c>
      <c r="H756" s="41">
        <f>SmtRes!CZ278</f>
        <v>155.63</v>
      </c>
      <c r="I756" s="40">
        <f>SmtRes!AI278</f>
        <v>0.95</v>
      </c>
      <c r="J756" s="41">
        <f>ROUND(H756*I756, 2)</f>
        <v>147.85</v>
      </c>
      <c r="K756" s="40"/>
      <c r="L756" s="41">
        <f>SmtRes!DF278</f>
        <v>80.73</v>
      </c>
    </row>
    <row r="757" spans="1:83" ht="42.75" x14ac:dyDescent="0.2">
      <c r="A757" s="37"/>
      <c r="B757" s="37" t="s">
        <v>720</v>
      </c>
      <c r="C757" s="37" t="s">
        <v>722</v>
      </c>
      <c r="D757" s="38" t="s">
        <v>94</v>
      </c>
      <c r="E757" s="39">
        <v>4.0000000000000001E-3</v>
      </c>
      <c r="F757" s="39"/>
      <c r="G757" s="39">
        <f>SmtRes!CX279</f>
        <v>1.6800000000000001E-3</v>
      </c>
      <c r="H757" s="41">
        <f>SmtRes!CZ279</f>
        <v>71131.5</v>
      </c>
      <c r="I757" s="40">
        <f>SmtRes!AI279</f>
        <v>0.86</v>
      </c>
      <c r="J757" s="41">
        <f>ROUND(H757*I757, 2)</f>
        <v>61173.09</v>
      </c>
      <c r="K757" s="40"/>
      <c r="L757" s="41">
        <f>SmtRes!DF279</f>
        <v>102.77</v>
      </c>
    </row>
    <row r="758" spans="1:83" ht="42.75" x14ac:dyDescent="0.2">
      <c r="A758" s="37"/>
      <c r="B758" s="37" t="s">
        <v>717</v>
      </c>
      <c r="C758" s="45" t="s">
        <v>719</v>
      </c>
      <c r="D758" s="46" t="s">
        <v>549</v>
      </c>
      <c r="E758" s="47">
        <v>2.2999999999999998</v>
      </c>
      <c r="F758" s="47"/>
      <c r="G758" s="47">
        <f>SmtRes!CX280</f>
        <v>0.96599999999999997</v>
      </c>
      <c r="H758" s="48">
        <f>SmtRes!CZ280</f>
        <v>911.56</v>
      </c>
      <c r="I758" s="49">
        <f>SmtRes!AI280</f>
        <v>1.23</v>
      </c>
      <c r="J758" s="48">
        <f>ROUND(H758*I758, 2)</f>
        <v>1121.22</v>
      </c>
      <c r="K758" s="49"/>
      <c r="L758" s="48">
        <f>SmtRes!DF280</f>
        <v>1083.0999999999999</v>
      </c>
    </row>
    <row r="759" spans="1:83" ht="15" x14ac:dyDescent="0.2">
      <c r="A759" s="37"/>
      <c r="B759" s="37"/>
      <c r="C759" s="51" t="s">
        <v>841</v>
      </c>
      <c r="D759" s="38"/>
      <c r="E759" s="39"/>
      <c r="F759" s="39"/>
      <c r="G759" s="39"/>
      <c r="H759" s="41"/>
      <c r="I759" s="40"/>
      <c r="J759" s="41"/>
      <c r="K759" s="40"/>
      <c r="L759" s="41">
        <f>L746+L748+L749+L755</f>
        <v>5341.58</v>
      </c>
    </row>
    <row r="760" spans="1:83" ht="14.25" x14ac:dyDescent="0.2">
      <c r="A760" s="37"/>
      <c r="B760" s="37"/>
      <c r="C760" s="37" t="s">
        <v>842</v>
      </c>
      <c r="D760" s="38"/>
      <c r="E760" s="39"/>
      <c r="F760" s="39"/>
      <c r="G760" s="39"/>
      <c r="H760" s="41"/>
      <c r="I760" s="40"/>
      <c r="J760" s="41"/>
      <c r="K760" s="40"/>
      <c r="L760" s="41">
        <f>SUM(AR744:AR763)+SUM(AS744:AS763)+SUM(AT744:AT763)+SUM(AU744:AU763)+SUM(AV744:AV763)</f>
        <v>3837.22</v>
      </c>
    </row>
    <row r="761" spans="1:83" ht="28.5" x14ac:dyDescent="0.2">
      <c r="A761" s="37"/>
      <c r="B761" s="37" t="s">
        <v>228</v>
      </c>
      <c r="C761" s="37" t="s">
        <v>910</v>
      </c>
      <c r="D761" s="38" t="s">
        <v>669</v>
      </c>
      <c r="E761" s="39">
        <f>Source!BZ171</f>
        <v>97</v>
      </c>
      <c r="F761" s="39"/>
      <c r="G761" s="39">
        <f>Source!AT171</f>
        <v>97</v>
      </c>
      <c r="H761" s="41"/>
      <c r="I761" s="40"/>
      <c r="J761" s="41"/>
      <c r="K761" s="40"/>
      <c r="L761" s="41">
        <f>SUM(AZ744:AZ763)</f>
        <v>3722.1</v>
      </c>
    </row>
    <row r="762" spans="1:83" ht="28.5" x14ac:dyDescent="0.2">
      <c r="A762" s="45"/>
      <c r="B762" s="45" t="s">
        <v>229</v>
      </c>
      <c r="C762" s="45" t="s">
        <v>911</v>
      </c>
      <c r="D762" s="46" t="s">
        <v>669</v>
      </c>
      <c r="E762" s="47">
        <f>Source!CA171</f>
        <v>51</v>
      </c>
      <c r="F762" s="47"/>
      <c r="G762" s="47">
        <f>Source!AU171</f>
        <v>51</v>
      </c>
      <c r="H762" s="48"/>
      <c r="I762" s="49"/>
      <c r="J762" s="48"/>
      <c r="K762" s="49"/>
      <c r="L762" s="48">
        <f>SUM(BA744:BA763)</f>
        <v>1956.98</v>
      </c>
    </row>
    <row r="763" spans="1:83" ht="15" x14ac:dyDescent="0.2">
      <c r="C763" s="112" t="s">
        <v>845</v>
      </c>
      <c r="D763" s="112"/>
      <c r="E763" s="112"/>
      <c r="F763" s="112"/>
      <c r="G763" s="112"/>
      <c r="H763" s="112"/>
      <c r="I763" s="113">
        <f>K763/E744</f>
        <v>26239.666666666668</v>
      </c>
      <c r="J763" s="113"/>
      <c r="K763" s="113">
        <f>L746+L748+L755+L761+L762+L749</f>
        <v>11020.66</v>
      </c>
      <c r="L763" s="113"/>
      <c r="AD763">
        <f>ROUND((Source!AT171/100)*((ROUND(SUMIF(SmtRes!AQ273:'SmtRes'!AQ281,"=1",SmtRes!AD273:'SmtRes'!AD281)*Source!I171, 2)+ROUND(SUMIF(SmtRes!AQ273:'SmtRes'!AQ281,"=1",SmtRes!AC273:'SmtRes'!AC281)*Source!I171, 2))), 2)</f>
        <v>663.68</v>
      </c>
      <c r="AE763">
        <f>ROUND((Source!AU171/100)*((ROUND(SUMIF(SmtRes!AQ273:'SmtRes'!AQ281,"=1",SmtRes!AD273:'SmtRes'!AD281)*Source!I171, 2)+ROUND(SUMIF(SmtRes!AQ273:'SmtRes'!AQ281,"=1",SmtRes!AC273:'SmtRes'!AC281)*Source!I171, 2))), 2)</f>
        <v>348.95</v>
      </c>
      <c r="AN763" s="50">
        <f>L746+L748+L755+L761+L762+L749</f>
        <v>11020.66</v>
      </c>
      <c r="AO763" s="50">
        <f>L748</f>
        <v>237.76</v>
      </c>
      <c r="AQ763" t="s">
        <v>846</v>
      </c>
      <c r="AR763" s="50">
        <f>L746</f>
        <v>3726.18</v>
      </c>
      <c r="AT763" s="50">
        <f>L749</f>
        <v>111.03999999999999</v>
      </c>
      <c r="AV763" t="s">
        <v>846</v>
      </c>
      <c r="AW763" s="50">
        <f>L755</f>
        <v>1266.5999999999999</v>
      </c>
      <c r="AZ763">
        <f>Source!X171</f>
        <v>3722.1</v>
      </c>
      <c r="BA763">
        <f>Source!Y171</f>
        <v>1956.98</v>
      </c>
      <c r="CD763">
        <v>2</v>
      </c>
    </row>
    <row r="764" spans="1:83" ht="42.75" x14ac:dyDescent="0.2">
      <c r="A764" s="35" t="s">
        <v>286</v>
      </c>
      <c r="B764" s="37" t="s">
        <v>924</v>
      </c>
      <c r="C764" s="37" t="str">
        <f>Source!G172</f>
        <v>Проводник заземляющий открыто по строительным основаниям: из круглой стали диаметром 12 мм</v>
      </c>
      <c r="D764" s="38" t="str">
        <f>Source!H172</f>
        <v>100 м</v>
      </c>
      <c r="E764" s="39">
        <f>Source!K172</f>
        <v>0.1</v>
      </c>
      <c r="F764" s="39"/>
      <c r="G764" s="39">
        <f>Source!I172</f>
        <v>0.1</v>
      </c>
      <c r="H764" s="41"/>
      <c r="I764" s="40"/>
      <c r="J764" s="41"/>
      <c r="K764" s="40"/>
      <c r="L764" s="41"/>
    </row>
    <row r="765" spans="1:83" x14ac:dyDescent="0.2">
      <c r="C765" s="58" t="str">
        <f>"Объем: "&amp;Source!I172&amp;"=10/"&amp;"100"</f>
        <v>Объем: 0,1=10/100</v>
      </c>
    </row>
    <row r="766" spans="1:83" ht="15" x14ac:dyDescent="0.2">
      <c r="A766" s="36"/>
      <c r="B766" s="39">
        <v>1</v>
      </c>
      <c r="C766" s="36" t="s">
        <v>835</v>
      </c>
      <c r="D766" s="38" t="s">
        <v>509</v>
      </c>
      <c r="E766" s="43"/>
      <c r="F766" s="39"/>
      <c r="G766" s="43">
        <f>Source!U172</f>
        <v>1.85</v>
      </c>
      <c r="H766" s="39"/>
      <c r="I766" s="39"/>
      <c r="J766" s="39"/>
      <c r="K766" s="39"/>
      <c r="L766" s="44">
        <f>SUM(L767:L767)-SUMIF(CE767:CE767, 1, L767:L767)</f>
        <v>887.19</v>
      </c>
    </row>
    <row r="767" spans="1:83" ht="14.25" x14ac:dyDescent="0.2">
      <c r="A767" s="37"/>
      <c r="B767" s="37" t="s">
        <v>715</v>
      </c>
      <c r="C767" s="37" t="s">
        <v>716</v>
      </c>
      <c r="D767" s="38" t="s">
        <v>509</v>
      </c>
      <c r="E767" s="39">
        <v>18.5</v>
      </c>
      <c r="F767" s="39"/>
      <c r="G767" s="39">
        <f>SmtRes!CX282</f>
        <v>1.85</v>
      </c>
      <c r="H767" s="41"/>
      <c r="I767" s="40"/>
      <c r="J767" s="41">
        <f>SmtRes!CZ282</f>
        <v>479.56</v>
      </c>
      <c r="K767" s="40"/>
      <c r="L767" s="41">
        <f>SmtRes!DI282</f>
        <v>887.19</v>
      </c>
    </row>
    <row r="768" spans="1:83" ht="15" x14ac:dyDescent="0.2">
      <c r="A768" s="36"/>
      <c r="B768" s="39">
        <v>2</v>
      </c>
      <c r="C768" s="36" t="s">
        <v>836</v>
      </c>
      <c r="D768" s="38"/>
      <c r="E768" s="43"/>
      <c r="F768" s="39"/>
      <c r="G768" s="43"/>
      <c r="H768" s="39"/>
      <c r="I768" s="39"/>
      <c r="J768" s="39"/>
      <c r="K768" s="39"/>
      <c r="L768" s="44">
        <f>SUM(L769:L774)-SUMIF(CE769:CE774, 1, L769:L774)</f>
        <v>43.83</v>
      </c>
    </row>
    <row r="769" spans="1:83" ht="15" x14ac:dyDescent="0.2">
      <c r="A769" s="36"/>
      <c r="B769" s="39"/>
      <c r="C769" s="36" t="s">
        <v>839</v>
      </c>
      <c r="D769" s="38" t="s">
        <v>509</v>
      </c>
      <c r="E769" s="43"/>
      <c r="F769" s="39"/>
      <c r="G769" s="43">
        <f>Source!V172</f>
        <v>3.4000000000000002E-2</v>
      </c>
      <c r="H769" s="39"/>
      <c r="I769" s="39"/>
      <c r="J769" s="39"/>
      <c r="K769" s="39"/>
      <c r="L769" s="44">
        <f>SUMIF(CE770:CE774, 1, L770:L774)</f>
        <v>19.54</v>
      </c>
      <c r="CE769">
        <v>1</v>
      </c>
    </row>
    <row r="770" spans="1:83" ht="28.5" x14ac:dyDescent="0.2">
      <c r="A770" s="37"/>
      <c r="B770" s="37" t="s">
        <v>512</v>
      </c>
      <c r="C770" s="37" t="s">
        <v>514</v>
      </c>
      <c r="D770" s="38" t="s">
        <v>515</v>
      </c>
      <c r="E770" s="39">
        <v>0.17</v>
      </c>
      <c r="F770" s="39"/>
      <c r="G770" s="39">
        <f>SmtRes!CX284</f>
        <v>1.7000000000000001E-2</v>
      </c>
      <c r="H770" s="41"/>
      <c r="I770" s="40"/>
      <c r="J770" s="41">
        <f>SmtRes!CZ284</f>
        <v>1551.19</v>
      </c>
      <c r="K770" s="40"/>
      <c r="L770" s="41">
        <f>SmtRes!DG284</f>
        <v>26.37</v>
      </c>
    </row>
    <row r="771" spans="1:83" ht="14.25" x14ac:dyDescent="0.2">
      <c r="A771" s="37"/>
      <c r="B771" s="37" t="s">
        <v>516</v>
      </c>
      <c r="C771" s="37" t="s">
        <v>837</v>
      </c>
      <c r="D771" s="38" t="s">
        <v>509</v>
      </c>
      <c r="E771" s="39">
        <f>SmtRes!DO284*SmtRes!AT284</f>
        <v>0.17</v>
      </c>
      <c r="F771" s="39"/>
      <c r="G771" s="39">
        <f>SmtRes!DO284*SmtRes!CX284</f>
        <v>1.7000000000000001E-2</v>
      </c>
      <c r="H771" s="41"/>
      <c r="I771" s="40"/>
      <c r="J771" s="41">
        <f>ROUND(SmtRes!AG284/SmtRes!DO284, 2)</f>
        <v>658.94</v>
      </c>
      <c r="K771" s="40"/>
      <c r="L771" s="41">
        <f>SmtRes!DH284</f>
        <v>11.2</v>
      </c>
      <c r="CE771">
        <v>1</v>
      </c>
    </row>
    <row r="772" spans="1:83" ht="14.25" x14ac:dyDescent="0.2">
      <c r="A772" s="37"/>
      <c r="B772" s="37" t="s">
        <v>520</v>
      </c>
      <c r="C772" s="37" t="s">
        <v>522</v>
      </c>
      <c r="D772" s="38" t="s">
        <v>515</v>
      </c>
      <c r="E772" s="39">
        <v>0.17</v>
      </c>
      <c r="F772" s="39"/>
      <c r="G772" s="39">
        <f>SmtRes!CX285</f>
        <v>1.7000000000000001E-2</v>
      </c>
      <c r="H772" s="41">
        <f>SmtRes!CZ285</f>
        <v>477.92</v>
      </c>
      <c r="I772" s="40">
        <f>SmtRes!AJ285</f>
        <v>1.21</v>
      </c>
      <c r="J772" s="41">
        <f>ROUND(H772*I772, 2)</f>
        <v>578.28</v>
      </c>
      <c r="K772" s="40"/>
      <c r="L772" s="41">
        <f>SmtRes!DG285</f>
        <v>9.83</v>
      </c>
    </row>
    <row r="773" spans="1:83" ht="14.25" x14ac:dyDescent="0.2">
      <c r="A773" s="37"/>
      <c r="B773" s="37" t="s">
        <v>523</v>
      </c>
      <c r="C773" s="37" t="s">
        <v>838</v>
      </c>
      <c r="D773" s="38" t="s">
        <v>509</v>
      </c>
      <c r="E773" s="39">
        <f>SmtRes!DO285*SmtRes!AT285</f>
        <v>0.17</v>
      </c>
      <c r="F773" s="39"/>
      <c r="G773" s="39">
        <f>SmtRes!DO285*SmtRes!CX285</f>
        <v>1.7000000000000001E-2</v>
      </c>
      <c r="H773" s="41"/>
      <c r="I773" s="40"/>
      <c r="J773" s="41">
        <f>ROUND(SmtRes!AG285/SmtRes!DO285, 2)</f>
        <v>490.55</v>
      </c>
      <c r="K773" s="40"/>
      <c r="L773" s="41">
        <f>SmtRes!DH285</f>
        <v>8.34</v>
      </c>
      <c r="CE773">
        <v>1</v>
      </c>
    </row>
    <row r="774" spans="1:83" ht="28.5" x14ac:dyDescent="0.2">
      <c r="A774" s="37"/>
      <c r="B774" s="37" t="s">
        <v>655</v>
      </c>
      <c r="C774" s="37" t="s">
        <v>657</v>
      </c>
      <c r="D774" s="38" t="s">
        <v>515</v>
      </c>
      <c r="E774" s="39">
        <v>2.9</v>
      </c>
      <c r="F774" s="39"/>
      <c r="G774" s="39">
        <f>SmtRes!CX286</f>
        <v>0.28999999999999998</v>
      </c>
      <c r="H774" s="41"/>
      <c r="I774" s="40"/>
      <c r="J774" s="41">
        <f>SmtRes!CZ286</f>
        <v>26.32</v>
      </c>
      <c r="K774" s="40"/>
      <c r="L774" s="41">
        <f>SmtRes!DG286</f>
        <v>7.63</v>
      </c>
    </row>
    <row r="775" spans="1:83" ht="15" x14ac:dyDescent="0.2">
      <c r="A775" s="36"/>
      <c r="B775" s="39">
        <v>4</v>
      </c>
      <c r="C775" s="36" t="s">
        <v>840</v>
      </c>
      <c r="D775" s="38"/>
      <c r="E775" s="43"/>
      <c r="F775" s="39"/>
      <c r="G775" s="43"/>
      <c r="H775" s="39"/>
      <c r="I775" s="39"/>
      <c r="J775" s="39"/>
      <c r="K775" s="39"/>
      <c r="L775" s="44">
        <f>SUM(L776:L778)-SUMIF(CE776:CE778, 1, L776:L778)</f>
        <v>306.87</v>
      </c>
    </row>
    <row r="776" spans="1:83" ht="42.75" x14ac:dyDescent="0.2">
      <c r="A776" s="37"/>
      <c r="B776" s="37" t="s">
        <v>550</v>
      </c>
      <c r="C776" s="37" t="s">
        <v>552</v>
      </c>
      <c r="D776" s="38" t="s">
        <v>549</v>
      </c>
      <c r="E776" s="39">
        <v>0.9</v>
      </c>
      <c r="F776" s="39"/>
      <c r="G776" s="39">
        <f>SmtRes!CX287</f>
        <v>0.09</v>
      </c>
      <c r="H776" s="41">
        <f>SmtRes!CZ287</f>
        <v>155.63</v>
      </c>
      <c r="I776" s="40">
        <f>SmtRes!AI287</f>
        <v>0.95</v>
      </c>
      <c r="J776" s="41">
        <f>ROUND(H776*I776, 2)</f>
        <v>147.85</v>
      </c>
      <c r="K776" s="40"/>
      <c r="L776" s="41">
        <f>SmtRes!DF287</f>
        <v>13.31</v>
      </c>
    </row>
    <row r="777" spans="1:83" ht="42.75" x14ac:dyDescent="0.2">
      <c r="A777" s="37"/>
      <c r="B777" s="37" t="s">
        <v>720</v>
      </c>
      <c r="C777" s="37" t="s">
        <v>722</v>
      </c>
      <c r="D777" s="38" t="s">
        <v>94</v>
      </c>
      <c r="E777" s="39">
        <v>4.0000000000000001E-3</v>
      </c>
      <c r="F777" s="39"/>
      <c r="G777" s="39">
        <f>SmtRes!CX288</f>
        <v>4.0000000000000002E-4</v>
      </c>
      <c r="H777" s="41">
        <f>SmtRes!CZ288</f>
        <v>71131.5</v>
      </c>
      <c r="I777" s="40">
        <f>SmtRes!AI288</f>
        <v>0.86</v>
      </c>
      <c r="J777" s="41">
        <f>ROUND(H777*I777, 2)</f>
        <v>61173.09</v>
      </c>
      <c r="K777" s="40"/>
      <c r="L777" s="41">
        <f>SmtRes!DF288</f>
        <v>24.47</v>
      </c>
    </row>
    <row r="778" spans="1:83" ht="42.75" x14ac:dyDescent="0.2">
      <c r="A778" s="37"/>
      <c r="B778" s="37" t="s">
        <v>717</v>
      </c>
      <c r="C778" s="45" t="s">
        <v>719</v>
      </c>
      <c r="D778" s="46" t="s">
        <v>549</v>
      </c>
      <c r="E778" s="47">
        <v>2.4</v>
      </c>
      <c r="F778" s="47"/>
      <c r="G778" s="47">
        <f>SmtRes!CX289</f>
        <v>0.24</v>
      </c>
      <c r="H778" s="48">
        <f>SmtRes!CZ289</f>
        <v>911.56</v>
      </c>
      <c r="I778" s="49">
        <f>SmtRes!AI289</f>
        <v>1.23</v>
      </c>
      <c r="J778" s="48">
        <f>ROUND(H778*I778, 2)</f>
        <v>1121.22</v>
      </c>
      <c r="K778" s="49"/>
      <c r="L778" s="48">
        <f>SmtRes!DF289</f>
        <v>269.08999999999997</v>
      </c>
    </row>
    <row r="779" spans="1:83" ht="15" x14ac:dyDescent="0.2">
      <c r="A779" s="37"/>
      <c r="B779" s="37"/>
      <c r="C779" s="51" t="s">
        <v>841</v>
      </c>
      <c r="D779" s="38"/>
      <c r="E779" s="39"/>
      <c r="F779" s="39"/>
      <c r="G779" s="39"/>
      <c r="H779" s="41"/>
      <c r="I779" s="40"/>
      <c r="J779" s="41"/>
      <c r="K779" s="40"/>
      <c r="L779" s="41">
        <f>L766+L768+L769+L775</f>
        <v>1257.43</v>
      </c>
    </row>
    <row r="780" spans="1:83" ht="14.25" x14ac:dyDescent="0.2">
      <c r="A780" s="37"/>
      <c r="B780" s="37"/>
      <c r="C780" s="37" t="s">
        <v>842</v>
      </c>
      <c r="D780" s="38"/>
      <c r="E780" s="39"/>
      <c r="F780" s="39"/>
      <c r="G780" s="39"/>
      <c r="H780" s="41"/>
      <c r="I780" s="40"/>
      <c r="J780" s="41"/>
      <c r="K780" s="40"/>
      <c r="L780" s="41">
        <f>SUM(AR764:AR783)+SUM(AS764:AS783)+SUM(AT764:AT783)+SUM(AU764:AU783)+SUM(AV764:AV783)</f>
        <v>906.73</v>
      </c>
    </row>
    <row r="781" spans="1:83" ht="28.5" x14ac:dyDescent="0.2">
      <c r="A781" s="37"/>
      <c r="B781" s="37" t="s">
        <v>228</v>
      </c>
      <c r="C781" s="37" t="s">
        <v>910</v>
      </c>
      <c r="D781" s="38" t="s">
        <v>669</v>
      </c>
      <c r="E781" s="39">
        <f>Source!BZ172</f>
        <v>97</v>
      </c>
      <c r="F781" s="39"/>
      <c r="G781" s="39">
        <f>Source!AT172</f>
        <v>97</v>
      </c>
      <c r="H781" s="41"/>
      <c r="I781" s="40"/>
      <c r="J781" s="41"/>
      <c r="K781" s="40"/>
      <c r="L781" s="41">
        <f>SUM(AZ764:AZ783)</f>
        <v>879.53</v>
      </c>
    </row>
    <row r="782" spans="1:83" ht="28.5" x14ac:dyDescent="0.2">
      <c r="A782" s="45"/>
      <c r="B782" s="45" t="s">
        <v>229</v>
      </c>
      <c r="C782" s="45" t="s">
        <v>911</v>
      </c>
      <c r="D782" s="46" t="s">
        <v>669</v>
      </c>
      <c r="E782" s="47">
        <f>Source!CA172</f>
        <v>51</v>
      </c>
      <c r="F782" s="47"/>
      <c r="G782" s="47">
        <f>Source!AU172</f>
        <v>51</v>
      </c>
      <c r="H782" s="48"/>
      <c r="I782" s="49"/>
      <c r="J782" s="48"/>
      <c r="K782" s="49"/>
      <c r="L782" s="48">
        <f>SUM(BA764:BA783)</f>
        <v>462.43</v>
      </c>
    </row>
    <row r="783" spans="1:83" ht="15" x14ac:dyDescent="0.2">
      <c r="C783" s="112" t="s">
        <v>845</v>
      </c>
      <c r="D783" s="112"/>
      <c r="E783" s="112"/>
      <c r="F783" s="112"/>
      <c r="G783" s="112"/>
      <c r="H783" s="112"/>
      <c r="I783" s="113">
        <f>K783/E764</f>
        <v>25993.899999999998</v>
      </c>
      <c r="J783" s="113"/>
      <c r="K783" s="113">
        <f>L766+L768+L775+L781+L782+L769</f>
        <v>2599.39</v>
      </c>
      <c r="L783" s="113"/>
      <c r="AD783">
        <f>ROUND((Source!AT172/100)*((ROUND(SUMIF(SmtRes!AQ282:'SmtRes'!AQ289,"=1",SmtRes!AD282:'SmtRes'!AD289)*Source!I172, 2)+ROUND(SUMIF(SmtRes!AQ282:'SmtRes'!AQ289,"=1",SmtRes!AC282:'SmtRes'!AC289)*Source!I172, 2))), 2)</f>
        <v>158.02000000000001</v>
      </c>
      <c r="AE783">
        <f>ROUND((Source!AU172/100)*((ROUND(SUMIF(SmtRes!AQ282:'SmtRes'!AQ289,"=1",SmtRes!AD282:'SmtRes'!AD289)*Source!I172, 2)+ROUND(SUMIF(SmtRes!AQ282:'SmtRes'!AQ289,"=1",SmtRes!AC282:'SmtRes'!AC289)*Source!I172, 2))), 2)</f>
        <v>83.08</v>
      </c>
      <c r="AN783" s="50">
        <f>L766+L768+L775+L781+L782+L769</f>
        <v>2599.39</v>
      </c>
      <c r="AO783" s="50">
        <f>L768</f>
        <v>43.83</v>
      </c>
      <c r="AQ783" t="s">
        <v>846</v>
      </c>
      <c r="AR783" s="50">
        <f>L766</f>
        <v>887.19</v>
      </c>
      <c r="AT783" s="50">
        <f>L769</f>
        <v>19.54</v>
      </c>
      <c r="AV783" t="s">
        <v>846</v>
      </c>
      <c r="AW783" s="50">
        <f>L775</f>
        <v>306.87</v>
      </c>
      <c r="AZ783">
        <f>Source!X172</f>
        <v>879.53</v>
      </c>
      <c r="BA783">
        <f>Source!Y172</f>
        <v>462.43</v>
      </c>
      <c r="CD783">
        <v>2</v>
      </c>
    </row>
    <row r="785" spans="1:12" ht="15" x14ac:dyDescent="0.2">
      <c r="A785" s="59"/>
      <c r="B785" s="60"/>
      <c r="C785" s="117" t="s">
        <v>881</v>
      </c>
      <c r="D785" s="117"/>
      <c r="E785" s="117"/>
      <c r="F785" s="117"/>
      <c r="G785" s="117"/>
      <c r="H785" s="117"/>
      <c r="I785" s="44"/>
      <c r="J785" s="59"/>
      <c r="K785" s="61"/>
      <c r="L785" s="44">
        <f>L787+L788+L794+L798</f>
        <v>95592.6</v>
      </c>
    </row>
    <row r="786" spans="1:12" ht="14.25" x14ac:dyDescent="0.2">
      <c r="A786" s="52"/>
      <c r="B786" s="58"/>
      <c r="C786" s="116" t="s">
        <v>882</v>
      </c>
      <c r="D786" s="115"/>
      <c r="E786" s="115"/>
      <c r="F786" s="115"/>
      <c r="G786" s="115"/>
      <c r="H786" s="115"/>
      <c r="I786" s="41"/>
      <c r="J786" s="52"/>
      <c r="K786" s="39"/>
      <c r="L786" s="41"/>
    </row>
    <row r="787" spans="1:12" ht="14.25" x14ac:dyDescent="0.2">
      <c r="A787" s="52"/>
      <c r="B787" s="58"/>
      <c r="C787" s="115" t="s">
        <v>883</v>
      </c>
      <c r="D787" s="115"/>
      <c r="E787" s="115"/>
      <c r="F787" s="115"/>
      <c r="G787" s="115"/>
      <c r="H787" s="115"/>
      <c r="I787" s="41"/>
      <c r="J787" s="52"/>
      <c r="K787" s="39"/>
      <c r="L787" s="41">
        <f>SUM(AR582:AR783)</f>
        <v>51385.950000000012</v>
      </c>
    </row>
    <row r="788" spans="1:12" ht="14.25" hidden="1" x14ac:dyDescent="0.2">
      <c r="A788" s="52"/>
      <c r="B788" s="58"/>
      <c r="C788" s="115" t="s">
        <v>884</v>
      </c>
      <c r="D788" s="115"/>
      <c r="E788" s="115"/>
      <c r="F788" s="115"/>
      <c r="G788" s="115"/>
      <c r="H788" s="115"/>
      <c r="I788" s="41"/>
      <c r="J788" s="52"/>
      <c r="K788" s="39"/>
      <c r="L788" s="41">
        <f>L790+L793+L792</f>
        <v>28616.9</v>
      </c>
    </row>
    <row r="789" spans="1:12" ht="14.25" hidden="1" x14ac:dyDescent="0.2">
      <c r="A789" s="52"/>
      <c r="B789" s="58"/>
      <c r="C789" s="116" t="s">
        <v>885</v>
      </c>
      <c r="D789" s="115"/>
      <c r="E789" s="115"/>
      <c r="F789" s="115"/>
      <c r="G789" s="115"/>
      <c r="H789" s="115"/>
      <c r="I789" s="41"/>
      <c r="J789" s="52"/>
      <c r="K789" s="39"/>
      <c r="L789" s="41"/>
    </row>
    <row r="790" spans="1:12" ht="14.25" x14ac:dyDescent="0.2">
      <c r="A790" s="52"/>
      <c r="B790" s="58"/>
      <c r="C790" s="115" t="s">
        <v>884</v>
      </c>
      <c r="D790" s="115"/>
      <c r="E790" s="115"/>
      <c r="F790" s="115"/>
      <c r="G790" s="115"/>
      <c r="H790" s="115"/>
      <c r="I790" s="41"/>
      <c r="J790" s="52"/>
      <c r="K790" s="39"/>
      <c r="L790" s="41">
        <f>SUM(AO582:AO783)</f>
        <v>19449.689999999999</v>
      </c>
    </row>
    <row r="791" spans="1:12" ht="14.25" hidden="1" x14ac:dyDescent="0.2">
      <c r="A791" s="52"/>
      <c r="B791" s="58"/>
      <c r="C791" s="116" t="s">
        <v>886</v>
      </c>
      <c r="D791" s="115"/>
      <c r="E791" s="115"/>
      <c r="F791" s="115"/>
      <c r="G791" s="115"/>
      <c r="H791" s="115"/>
      <c r="I791" s="41"/>
      <c r="J791" s="52"/>
      <c r="K791" s="39"/>
      <c r="L791" s="41"/>
    </row>
    <row r="792" spans="1:12" ht="14.25" x14ac:dyDescent="0.2">
      <c r="A792" s="52"/>
      <c r="B792" s="58"/>
      <c r="C792" s="115" t="s">
        <v>906</v>
      </c>
      <c r="D792" s="115"/>
      <c r="E792" s="115"/>
      <c r="F792" s="115"/>
      <c r="G792" s="115"/>
      <c r="H792" s="115"/>
      <c r="I792" s="41"/>
      <c r="J792" s="52"/>
      <c r="K792" s="39"/>
      <c r="L792" s="41">
        <f>SUM(AT582:AT783)</f>
        <v>9167.2100000000009</v>
      </c>
    </row>
    <row r="793" spans="1:12" ht="14.25" hidden="1" x14ac:dyDescent="0.2">
      <c r="A793" s="52"/>
      <c r="B793" s="58"/>
      <c r="C793" s="115" t="s">
        <v>887</v>
      </c>
      <c r="D793" s="115"/>
      <c r="E793" s="115"/>
      <c r="F793" s="115"/>
      <c r="G793" s="115"/>
      <c r="H793" s="115"/>
      <c r="I793" s="41"/>
      <c r="J793" s="52"/>
      <c r="K793" s="39"/>
      <c r="L793" s="41">
        <f>SUM(AV582:AV783)</f>
        <v>0</v>
      </c>
    </row>
    <row r="794" spans="1:12" ht="14.25" x14ac:dyDescent="0.2">
      <c r="A794" s="52"/>
      <c r="B794" s="58"/>
      <c r="C794" s="115" t="s">
        <v>888</v>
      </c>
      <c r="D794" s="115"/>
      <c r="E794" s="115"/>
      <c r="F794" s="115"/>
      <c r="G794" s="115"/>
      <c r="H794" s="115"/>
      <c r="I794" s="41"/>
      <c r="J794" s="52"/>
      <c r="K794" s="39"/>
      <c r="L794" s="41">
        <f>L796+L797</f>
        <v>15589.750000000004</v>
      </c>
    </row>
    <row r="795" spans="1:12" ht="14.25" x14ac:dyDescent="0.2">
      <c r="A795" s="52"/>
      <c r="B795" s="58"/>
      <c r="C795" s="116" t="s">
        <v>885</v>
      </c>
      <c r="D795" s="115"/>
      <c r="E795" s="115"/>
      <c r="F795" s="115"/>
      <c r="G795" s="115"/>
      <c r="H795" s="115"/>
      <c r="I795" s="41"/>
      <c r="J795" s="52"/>
      <c r="K795" s="39"/>
      <c r="L795" s="41"/>
    </row>
    <row r="796" spans="1:12" ht="14.25" x14ac:dyDescent="0.2">
      <c r="A796" s="52"/>
      <c r="B796" s="58"/>
      <c r="C796" s="115" t="s">
        <v>889</v>
      </c>
      <c r="D796" s="115"/>
      <c r="E796" s="115"/>
      <c r="F796" s="115"/>
      <c r="G796" s="115"/>
      <c r="H796" s="115"/>
      <c r="I796" s="41"/>
      <c r="J796" s="52"/>
      <c r="K796" s="39"/>
      <c r="L796" s="41">
        <f>SUM(AW582:AW783)-SUM(BK582:BK783)</f>
        <v>15589.750000000004</v>
      </c>
    </row>
    <row r="797" spans="1:12" ht="14.25" hidden="1" x14ac:dyDescent="0.2">
      <c r="A797" s="52"/>
      <c r="B797" s="58"/>
      <c r="C797" s="115" t="s">
        <v>890</v>
      </c>
      <c r="D797" s="115"/>
      <c r="E797" s="115"/>
      <c r="F797" s="115"/>
      <c r="G797" s="115"/>
      <c r="H797" s="115"/>
      <c r="I797" s="41"/>
      <c r="J797" s="52"/>
      <c r="K797" s="39"/>
      <c r="L797" s="41">
        <f>SUM(BC582:BC783)</f>
        <v>0</v>
      </c>
    </row>
    <row r="798" spans="1:12" ht="14.25" hidden="1" x14ac:dyDescent="0.2">
      <c r="A798" s="52"/>
      <c r="B798" s="58"/>
      <c r="C798" s="115" t="s">
        <v>891</v>
      </c>
      <c r="D798" s="115"/>
      <c r="E798" s="115"/>
      <c r="F798" s="115"/>
      <c r="G798" s="115"/>
      <c r="H798" s="115"/>
      <c r="I798" s="41"/>
      <c r="J798" s="52"/>
      <c r="K798" s="39"/>
      <c r="L798" s="41">
        <f>SUM(BB582:BB783)</f>
        <v>0</v>
      </c>
    </row>
    <row r="799" spans="1:12" ht="14.25" x14ac:dyDescent="0.2">
      <c r="A799" s="52"/>
      <c r="B799" s="58"/>
      <c r="C799" s="115" t="s">
        <v>892</v>
      </c>
      <c r="D799" s="115"/>
      <c r="E799" s="115"/>
      <c r="F799" s="115"/>
      <c r="G799" s="115"/>
      <c r="H799" s="115"/>
      <c r="I799" s="41"/>
      <c r="J799" s="52"/>
      <c r="K799" s="39"/>
      <c r="L799" s="41">
        <f>SUM(AR582:AR783)+SUM(AT582:AT783)+SUM(AV582:AV783)</f>
        <v>60553.160000000011</v>
      </c>
    </row>
    <row r="800" spans="1:12" ht="14.25" x14ac:dyDescent="0.2">
      <c r="A800" s="52"/>
      <c r="B800" s="58"/>
      <c r="C800" s="115" t="s">
        <v>893</v>
      </c>
      <c r="D800" s="115"/>
      <c r="E800" s="115"/>
      <c r="F800" s="115"/>
      <c r="G800" s="115"/>
      <c r="H800" s="115"/>
      <c r="I800" s="41"/>
      <c r="J800" s="52"/>
      <c r="K800" s="39"/>
      <c r="L800" s="41">
        <f>SUM(AZ582:AZ783)</f>
        <v>59030.07</v>
      </c>
    </row>
    <row r="801" spans="1:12" ht="14.25" x14ac:dyDescent="0.2">
      <c r="A801" s="52"/>
      <c r="B801" s="58"/>
      <c r="C801" s="115" t="s">
        <v>894</v>
      </c>
      <c r="D801" s="115"/>
      <c r="E801" s="115"/>
      <c r="F801" s="115"/>
      <c r="G801" s="115"/>
      <c r="H801" s="115"/>
      <c r="I801" s="41"/>
      <c r="J801" s="52"/>
      <c r="K801" s="39"/>
      <c r="L801" s="41">
        <f>SUM(BA582:BA783)</f>
        <v>31322.389999999996</v>
      </c>
    </row>
    <row r="802" spans="1:12" ht="14.25" hidden="1" x14ac:dyDescent="0.2">
      <c r="A802" s="52"/>
      <c r="B802" s="58"/>
      <c r="C802" s="115" t="s">
        <v>895</v>
      </c>
      <c r="D802" s="115"/>
      <c r="E802" s="115"/>
      <c r="F802" s="115"/>
      <c r="G802" s="115"/>
      <c r="H802" s="115"/>
      <c r="I802" s="41"/>
      <c r="J802" s="52"/>
      <c r="K802" s="39"/>
      <c r="L802" s="41">
        <f>L804+L805</f>
        <v>0</v>
      </c>
    </row>
    <row r="803" spans="1:12" ht="14.25" hidden="1" x14ac:dyDescent="0.2">
      <c r="A803" s="52"/>
      <c r="B803" s="58"/>
      <c r="C803" s="116" t="s">
        <v>882</v>
      </c>
      <c r="D803" s="115"/>
      <c r="E803" s="115"/>
      <c r="F803" s="115"/>
      <c r="G803" s="115"/>
      <c r="H803" s="115"/>
      <c r="I803" s="41"/>
      <c r="J803" s="52"/>
      <c r="K803" s="39"/>
      <c r="L803" s="41"/>
    </row>
    <row r="804" spans="1:12" ht="14.25" hidden="1" x14ac:dyDescent="0.2">
      <c r="A804" s="52"/>
      <c r="B804" s="58"/>
      <c r="C804" s="115" t="s">
        <v>896</v>
      </c>
      <c r="D804" s="115"/>
      <c r="E804" s="115"/>
      <c r="F804" s="115"/>
      <c r="G804" s="115"/>
      <c r="H804" s="115"/>
      <c r="I804" s="41"/>
      <c r="J804" s="52"/>
      <c r="K804" s="39"/>
      <c r="L804" s="41">
        <f>SUM(BK582:BK783)</f>
        <v>0</v>
      </c>
    </row>
    <row r="805" spans="1:12" ht="14.25" hidden="1" x14ac:dyDescent="0.2">
      <c r="A805" s="52"/>
      <c r="B805" s="58"/>
      <c r="C805" s="115" t="s">
        <v>897</v>
      </c>
      <c r="D805" s="115"/>
      <c r="E805" s="115"/>
      <c r="F805" s="115"/>
      <c r="G805" s="115"/>
      <c r="H805" s="115"/>
      <c r="I805" s="41"/>
      <c r="J805" s="52"/>
      <c r="K805" s="39"/>
      <c r="L805" s="41">
        <f>SUM(BD582:BD783)</f>
        <v>0</v>
      </c>
    </row>
    <row r="806" spans="1:12" ht="14.25" hidden="1" x14ac:dyDescent="0.2">
      <c r="A806" s="52"/>
      <c r="B806" s="58"/>
      <c r="C806" s="115" t="s">
        <v>898</v>
      </c>
      <c r="D806" s="115"/>
      <c r="E806" s="115"/>
      <c r="F806" s="115"/>
      <c r="G806" s="115"/>
      <c r="H806" s="115"/>
      <c r="I806" s="41"/>
      <c r="J806" s="52"/>
      <c r="K806" s="39"/>
      <c r="L806" s="41"/>
    </row>
    <row r="807" spans="1:12" ht="14.25" hidden="1" x14ac:dyDescent="0.2">
      <c r="A807" s="52"/>
      <c r="B807" s="58"/>
      <c r="C807" s="115" t="s">
        <v>899</v>
      </c>
      <c r="D807" s="115"/>
      <c r="E807" s="115"/>
      <c r="F807" s="115"/>
      <c r="G807" s="115"/>
      <c r="H807" s="115"/>
      <c r="I807" s="41"/>
      <c r="J807" s="52"/>
      <c r="K807" s="39"/>
      <c r="L807" s="41">
        <f>SUM(BO582:BO783)</f>
        <v>0</v>
      </c>
    </row>
    <row r="808" spans="1:12" ht="15" x14ac:dyDescent="0.2">
      <c r="A808" s="59"/>
      <c r="B808" s="60"/>
      <c r="C808" s="117" t="s">
        <v>900</v>
      </c>
      <c r="D808" s="117"/>
      <c r="E808" s="117"/>
      <c r="F808" s="117"/>
      <c r="G808" s="117"/>
      <c r="H808" s="117"/>
      <c r="I808" s="44"/>
      <c r="J808" s="59"/>
      <c r="K808" s="61"/>
      <c r="L808" s="44">
        <f>L785+L800+L801+L802+L806+L807</f>
        <v>185945.06</v>
      </c>
    </row>
    <row r="809" spans="1:12" ht="14.25" x14ac:dyDescent="0.2">
      <c r="A809" s="52"/>
      <c r="B809" s="58"/>
      <c r="C809" s="116" t="s">
        <v>901</v>
      </c>
      <c r="D809" s="115"/>
      <c r="E809" s="115"/>
      <c r="F809" s="115"/>
      <c r="G809" s="115"/>
      <c r="H809" s="115"/>
      <c r="I809" s="41"/>
      <c r="J809" s="52"/>
      <c r="K809" s="39"/>
      <c r="L809" s="41"/>
    </row>
    <row r="810" spans="1:12" ht="14.25" hidden="1" x14ac:dyDescent="0.2">
      <c r="A810" s="52"/>
      <c r="B810" s="58"/>
      <c r="C810" s="115" t="s">
        <v>902</v>
      </c>
      <c r="D810" s="115"/>
      <c r="E810" s="115"/>
      <c r="F810" s="115"/>
      <c r="G810" s="115"/>
      <c r="H810" s="115"/>
      <c r="I810" s="41"/>
      <c r="J810" s="52"/>
      <c r="K810" s="39"/>
      <c r="L810" s="41">
        <f>SUM(AX582:AX783)</f>
        <v>0</v>
      </c>
    </row>
    <row r="811" spans="1:12" ht="14.25" hidden="1" x14ac:dyDescent="0.2">
      <c r="A811" s="52"/>
      <c r="B811" s="58"/>
      <c r="C811" s="115" t="s">
        <v>903</v>
      </c>
      <c r="D811" s="115"/>
      <c r="E811" s="115"/>
      <c r="F811" s="115"/>
      <c r="G811" s="115"/>
      <c r="H811" s="115"/>
      <c r="I811" s="41"/>
      <c r="J811" s="52"/>
      <c r="K811" s="39"/>
      <c r="L811" s="41">
        <f>SUM(AY582:AY783)</f>
        <v>0</v>
      </c>
    </row>
    <row r="812" spans="1:12" ht="14.25" x14ac:dyDescent="0.2">
      <c r="A812" s="52"/>
      <c r="B812" s="58"/>
      <c r="C812" s="115" t="s">
        <v>904</v>
      </c>
      <c r="D812" s="115"/>
      <c r="E812" s="115"/>
      <c r="F812" s="118"/>
      <c r="G812" s="43">
        <f>Source!F196</f>
        <v>104.3348</v>
      </c>
      <c r="H812" s="52"/>
      <c r="I812" s="52"/>
      <c r="J812" s="52"/>
      <c r="K812" s="52"/>
      <c r="L812" s="52"/>
    </row>
    <row r="813" spans="1:12" ht="14.25" x14ac:dyDescent="0.2">
      <c r="A813" s="52"/>
      <c r="B813" s="58"/>
      <c r="C813" s="115" t="s">
        <v>905</v>
      </c>
      <c r="D813" s="115"/>
      <c r="E813" s="115"/>
      <c r="F813" s="118"/>
      <c r="G813" s="43">
        <f>Source!F197</f>
        <v>14.934799999999999</v>
      </c>
      <c r="H813" s="52"/>
      <c r="I813" s="52"/>
      <c r="J813" s="52"/>
      <c r="K813" s="52"/>
      <c r="L813" s="52"/>
    </row>
    <row r="816" spans="1:12" ht="16.5" x14ac:dyDescent="0.2">
      <c r="A816" s="114" t="s">
        <v>925</v>
      </c>
      <c r="B816" s="114"/>
      <c r="C816" s="114"/>
      <c r="D816" s="114"/>
      <c r="E816" s="114"/>
      <c r="F816" s="114"/>
      <c r="G816" s="114"/>
      <c r="H816" s="114"/>
      <c r="I816" s="114"/>
      <c r="J816" s="114"/>
      <c r="K816" s="114"/>
      <c r="L816" s="114"/>
    </row>
    <row r="817" spans="1:82" ht="28.5" x14ac:dyDescent="0.2">
      <c r="A817" s="35" t="s">
        <v>291</v>
      </c>
      <c r="B817" s="37" t="str">
        <f>Source!F208</f>
        <v>21.2.01.01-0051</v>
      </c>
      <c r="C817" s="37" t="str">
        <f>Source!G208</f>
        <v>Провод самонесущий изолированный СИП-3 1х95-20</v>
      </c>
      <c r="D817" s="38" t="str">
        <f>Source!H208</f>
        <v>1000 м</v>
      </c>
      <c r="E817" s="39">
        <f>Source!K208</f>
        <v>0.03</v>
      </c>
      <c r="F817" s="39"/>
      <c r="G817" s="39">
        <f>Source!I208</f>
        <v>0.03</v>
      </c>
      <c r="H817" s="41">
        <f>Source!AL208</f>
        <v>76735.710000000006</v>
      </c>
      <c r="I817" s="40">
        <f>IF(Source!BC208&lt;&gt; 0, Source!BC208, 1)</f>
        <v>1.38</v>
      </c>
      <c r="J817" s="41">
        <f>ROUND(H817*I817, 2)</f>
        <v>105895.28</v>
      </c>
      <c r="K817" s="40"/>
      <c r="L817" s="41">
        <f>Source!P208</f>
        <v>3176.86</v>
      </c>
    </row>
    <row r="818" spans="1:82" x14ac:dyDescent="0.2">
      <c r="A818" s="62"/>
      <c r="B818" s="62"/>
      <c r="C818" s="86" t="str">
        <f>"Объем: "&amp;Source!I208&amp;"=30/"&amp;"1000"</f>
        <v>Объем: 0,03=30/1000</v>
      </c>
      <c r="D818" s="62"/>
      <c r="E818" s="62"/>
      <c r="F818" s="62"/>
      <c r="G818" s="62"/>
      <c r="H818" s="62"/>
      <c r="I818" s="62"/>
      <c r="J818" s="62"/>
      <c r="K818" s="62"/>
      <c r="L818" s="62"/>
    </row>
    <row r="819" spans="1:82" ht="15" x14ac:dyDescent="0.2">
      <c r="C819" s="112" t="s">
        <v>845</v>
      </c>
      <c r="D819" s="112"/>
      <c r="E819" s="112"/>
      <c r="F819" s="112"/>
      <c r="G819" s="112"/>
      <c r="H819" s="112"/>
      <c r="I819" s="113">
        <f>K819/E817</f>
        <v>105895.33333333334</v>
      </c>
      <c r="J819" s="113"/>
      <c r="K819" s="113">
        <f>L817</f>
        <v>3176.86</v>
      </c>
      <c r="L819" s="113"/>
      <c r="AD819">
        <f>ROUND((Source!AT208/100)*((ROUND(ROUND(Source!AO208,2)*Source!I208, 2)+ROUND(ROUND(Source!AN208,2)*Source!I208, 2))), 2)</f>
        <v>0</v>
      </c>
      <c r="AE819">
        <f>ROUND((Source!AU208/100)*((ROUND(ROUND(Source!AO208,2)*Source!I208, 2)+ROUND(ROUND(Source!AN208,2)*Source!I208, 2))), 2)</f>
        <v>0</v>
      </c>
      <c r="AN819" s="50">
        <f>L817</f>
        <v>3176.86</v>
      </c>
      <c r="AO819">
        <f>0</f>
        <v>0</v>
      </c>
      <c r="AQ819" t="s">
        <v>846</v>
      </c>
      <c r="AR819">
        <f>0</f>
        <v>0</v>
      </c>
      <c r="AT819">
        <f>0</f>
        <v>0</v>
      </c>
      <c r="AV819" t="s">
        <v>846</v>
      </c>
      <c r="AW819" s="50">
        <f>L817</f>
        <v>3176.86</v>
      </c>
      <c r="AZ819">
        <f>Source!X208</f>
        <v>0</v>
      </c>
      <c r="BA819">
        <f>Source!Y208</f>
        <v>0</v>
      </c>
      <c r="CD819">
        <v>2</v>
      </c>
    </row>
    <row r="820" spans="1:82" ht="14.25" x14ac:dyDescent="0.2">
      <c r="A820" s="54" t="s">
        <v>300</v>
      </c>
      <c r="B820" s="45" t="str">
        <f>Source!F209</f>
        <v>20.1.02.23-1032</v>
      </c>
      <c r="C820" s="45" t="str">
        <f>Source!G209</f>
        <v>Вязка спиральная ВС 120/150</v>
      </c>
      <c r="D820" s="46" t="str">
        <f>Source!H209</f>
        <v>ШТ</v>
      </c>
      <c r="E820" s="47">
        <f>Source!K209</f>
        <v>6</v>
      </c>
      <c r="F820" s="47"/>
      <c r="G820" s="47">
        <f>Source!I209</f>
        <v>6</v>
      </c>
      <c r="H820" s="48">
        <f>Source!AL209</f>
        <v>149.43</v>
      </c>
      <c r="I820" s="49">
        <f>IF(Source!BC209&lt;&gt; 0, Source!BC209, 1)</f>
        <v>1.26</v>
      </c>
      <c r="J820" s="48">
        <f>ROUND(H820*I820, 2)</f>
        <v>188.28</v>
      </c>
      <c r="K820" s="49"/>
      <c r="L820" s="48">
        <f>Source!P209</f>
        <v>1129.68</v>
      </c>
    </row>
    <row r="821" spans="1:82" ht="15" x14ac:dyDescent="0.2">
      <c r="C821" s="112" t="s">
        <v>845</v>
      </c>
      <c r="D821" s="112"/>
      <c r="E821" s="112"/>
      <c r="F821" s="112"/>
      <c r="G821" s="112"/>
      <c r="H821" s="112"/>
      <c r="I821" s="113">
        <f>K821/E820</f>
        <v>188.28</v>
      </c>
      <c r="J821" s="113"/>
      <c r="K821" s="113">
        <f>L820</f>
        <v>1129.68</v>
      </c>
      <c r="L821" s="113"/>
      <c r="AD821">
        <f>ROUND((Source!AT209/100)*((ROUND(ROUND(Source!AO209,2)*Source!I209, 2)+ROUND(ROUND(Source!AN209,2)*Source!I209, 2))), 2)</f>
        <v>0</v>
      </c>
      <c r="AE821">
        <f>ROUND((Source!AU209/100)*((ROUND(ROUND(Source!AO209,2)*Source!I209, 2)+ROUND(ROUND(Source!AN209,2)*Source!I209, 2))), 2)</f>
        <v>0</v>
      </c>
      <c r="AN821" s="50">
        <f>L820</f>
        <v>1129.68</v>
      </c>
      <c r="AO821">
        <f>0</f>
        <v>0</v>
      </c>
      <c r="AQ821" t="s">
        <v>846</v>
      </c>
      <c r="AR821">
        <f>0</f>
        <v>0</v>
      </c>
      <c r="AT821">
        <f>0</f>
        <v>0</v>
      </c>
      <c r="AV821" t="s">
        <v>846</v>
      </c>
      <c r="AW821" s="50">
        <f>L820</f>
        <v>1129.68</v>
      </c>
      <c r="AZ821">
        <f>Source!X209</f>
        <v>0</v>
      </c>
      <c r="BA821">
        <f>Source!Y209</f>
        <v>0</v>
      </c>
      <c r="CD821">
        <v>2</v>
      </c>
    </row>
    <row r="822" spans="1:82" ht="14.25" x14ac:dyDescent="0.2">
      <c r="A822" s="54" t="s">
        <v>304</v>
      </c>
      <c r="B822" s="45" t="str">
        <f>Source!F210</f>
        <v>25.2.01.07-0001</v>
      </c>
      <c r="C822" s="45" t="str">
        <f>Source!G210</f>
        <v>Изолятор штыревой ШФ-20Г</v>
      </c>
      <c r="D822" s="46" t="str">
        <f>Source!H210</f>
        <v>ШТ</v>
      </c>
      <c r="E822" s="47">
        <f>Source!K210</f>
        <v>3</v>
      </c>
      <c r="F822" s="47"/>
      <c r="G822" s="47">
        <f>Source!I210</f>
        <v>3</v>
      </c>
      <c r="H822" s="48">
        <f>Source!AL210</f>
        <v>445.67</v>
      </c>
      <c r="I822" s="49"/>
      <c r="J822" s="48"/>
      <c r="K822" s="49"/>
      <c r="L822" s="48">
        <f>Source!P210</f>
        <v>1337.01</v>
      </c>
    </row>
    <row r="823" spans="1:82" ht="15" x14ac:dyDescent="0.2">
      <c r="C823" s="112" t="s">
        <v>845</v>
      </c>
      <c r="D823" s="112"/>
      <c r="E823" s="112"/>
      <c r="F823" s="112"/>
      <c r="G823" s="112"/>
      <c r="H823" s="112"/>
      <c r="I823" s="113">
        <f>K823/E822</f>
        <v>445.67</v>
      </c>
      <c r="J823" s="113"/>
      <c r="K823" s="113">
        <f>L822</f>
        <v>1337.01</v>
      </c>
      <c r="L823" s="113"/>
      <c r="AD823">
        <f>ROUND((Source!AT210/100)*((ROUND(ROUND(Source!AO210,2)*Source!I210, 2)+ROUND(ROUND(Source!AN210,2)*Source!I210, 2))), 2)</f>
        <v>0</v>
      </c>
      <c r="AE823">
        <f>ROUND((Source!AU210/100)*((ROUND(ROUND(Source!AO210,2)*Source!I210, 2)+ROUND(ROUND(Source!AN210,2)*Source!I210, 2))), 2)</f>
        <v>0</v>
      </c>
      <c r="AN823" s="50">
        <f>L822</f>
        <v>1337.01</v>
      </c>
      <c r="AO823">
        <f>0</f>
        <v>0</v>
      </c>
      <c r="AQ823" t="s">
        <v>846</v>
      </c>
      <c r="AR823">
        <f>0</f>
        <v>0</v>
      </c>
      <c r="AT823">
        <f>0</f>
        <v>0</v>
      </c>
      <c r="AV823" t="s">
        <v>846</v>
      </c>
      <c r="AW823" s="50">
        <f>L822</f>
        <v>1337.01</v>
      </c>
      <c r="AZ823">
        <f>Source!X210</f>
        <v>0</v>
      </c>
      <c r="BA823">
        <f>Source!Y210</f>
        <v>0</v>
      </c>
      <c r="CD823">
        <v>1</v>
      </c>
    </row>
    <row r="824" spans="1:82" ht="14.25" x14ac:dyDescent="0.2">
      <c r="A824" s="35" t="s">
        <v>311</v>
      </c>
      <c r="B824" s="37" t="str">
        <f>Source!F211</f>
        <v>20.2.02.04-0006</v>
      </c>
      <c r="C824" s="37" t="str">
        <f>Source!G211</f>
        <v>Колпачки полиэтиленовые К-6</v>
      </c>
      <c r="D824" s="38" t="str">
        <f>Source!H211</f>
        <v>100 ШТ</v>
      </c>
      <c r="E824" s="39">
        <f>Source!K211</f>
        <v>0.03</v>
      </c>
      <c r="F824" s="39"/>
      <c r="G824" s="39">
        <f>Source!I211</f>
        <v>0.03</v>
      </c>
      <c r="H824" s="41">
        <f>Source!AL211</f>
        <v>1031.73</v>
      </c>
      <c r="I824" s="40">
        <f>IF(Source!BC211&lt;&gt; 0, Source!BC211, 1)</f>
        <v>1.1499999999999999</v>
      </c>
      <c r="J824" s="41">
        <f>ROUND(H824*I824, 2)</f>
        <v>1186.49</v>
      </c>
      <c r="K824" s="40"/>
      <c r="L824" s="41">
        <f>Source!P211</f>
        <v>35.590000000000003</v>
      </c>
    </row>
    <row r="825" spans="1:82" x14ac:dyDescent="0.2">
      <c r="A825" s="62"/>
      <c r="B825" s="62"/>
      <c r="C825" s="86" t="str">
        <f>"Объем: "&amp;Source!I211&amp;"=3/"&amp;"100"</f>
        <v>Объем: 0,03=3/100</v>
      </c>
      <c r="D825" s="62"/>
      <c r="E825" s="62"/>
      <c r="F825" s="62"/>
      <c r="G825" s="62"/>
      <c r="H825" s="62"/>
      <c r="I825" s="62"/>
      <c r="J825" s="62"/>
      <c r="K825" s="62"/>
      <c r="L825" s="62"/>
    </row>
    <row r="826" spans="1:82" ht="15" x14ac:dyDescent="0.2">
      <c r="C826" s="112" t="s">
        <v>845</v>
      </c>
      <c r="D826" s="112"/>
      <c r="E826" s="112"/>
      <c r="F826" s="112"/>
      <c r="G826" s="112"/>
      <c r="H826" s="112"/>
      <c r="I826" s="113">
        <f>K826/E824</f>
        <v>1186.3333333333335</v>
      </c>
      <c r="J826" s="113"/>
      <c r="K826" s="113">
        <f>L824</f>
        <v>35.590000000000003</v>
      </c>
      <c r="L826" s="113"/>
      <c r="AD826">
        <f>ROUND((Source!AT211/100)*((ROUND(ROUND(Source!AO211,2)*Source!I211, 2)+ROUND(ROUND(Source!AN211,2)*Source!I211, 2))), 2)</f>
        <v>0</v>
      </c>
      <c r="AE826">
        <f>ROUND((Source!AU211/100)*((ROUND(ROUND(Source!AO211,2)*Source!I211, 2)+ROUND(ROUND(Source!AN211,2)*Source!I211, 2))), 2)</f>
        <v>0</v>
      </c>
      <c r="AN826" s="50">
        <f>L824</f>
        <v>35.590000000000003</v>
      </c>
      <c r="AO826">
        <f>0</f>
        <v>0</v>
      </c>
      <c r="AQ826" t="s">
        <v>846</v>
      </c>
      <c r="AR826">
        <f>0</f>
        <v>0</v>
      </c>
      <c r="AT826">
        <f>0</f>
        <v>0</v>
      </c>
      <c r="AV826" t="s">
        <v>846</v>
      </c>
      <c r="AW826" s="50">
        <f>L824</f>
        <v>35.590000000000003</v>
      </c>
      <c r="AZ826">
        <f>Source!X211</f>
        <v>0</v>
      </c>
      <c r="BA826">
        <f>Source!Y211</f>
        <v>0</v>
      </c>
      <c r="CD826">
        <v>2</v>
      </c>
    </row>
    <row r="827" spans="1:82" ht="28.5" x14ac:dyDescent="0.2">
      <c r="A827" s="35" t="s">
        <v>315</v>
      </c>
      <c r="B827" s="37" t="str">
        <f>Source!F212</f>
        <v>20.2.10.03-0002</v>
      </c>
      <c r="C827" s="37" t="str">
        <f>Source!G212</f>
        <v>Наконечники кабельные медные для электротехнических установок</v>
      </c>
      <c r="D827" s="38" t="str">
        <f>Source!H212</f>
        <v>100 ШТ</v>
      </c>
      <c r="E827" s="39">
        <f>Source!K212</f>
        <v>0.24</v>
      </c>
      <c r="F827" s="39"/>
      <c r="G827" s="39">
        <f>Source!I212</f>
        <v>0.24</v>
      </c>
      <c r="H827" s="41">
        <f>Source!AL212</f>
        <v>10102.23</v>
      </c>
      <c r="I827" s="40">
        <f>IF(Source!BC212&lt;&gt; 0, Source!BC212, 1)</f>
        <v>1.26</v>
      </c>
      <c r="J827" s="41">
        <f>ROUND(H827*I827, 2)</f>
        <v>12728.81</v>
      </c>
      <c r="K827" s="40"/>
      <c r="L827" s="41">
        <f>Source!P212</f>
        <v>3054.91</v>
      </c>
    </row>
    <row r="828" spans="1:82" x14ac:dyDescent="0.2">
      <c r="A828" s="62"/>
      <c r="B828" s="62"/>
      <c r="C828" s="86" t="str">
        <f>"Объем: "&amp;Source!I212&amp;"=24/"&amp;"100"</f>
        <v>Объем: 0,24=24/100</v>
      </c>
      <c r="D828" s="62"/>
      <c r="E828" s="62"/>
      <c r="F828" s="62"/>
      <c r="G828" s="62"/>
      <c r="H828" s="62"/>
      <c r="I828" s="62"/>
      <c r="J828" s="62"/>
      <c r="K828" s="62"/>
      <c r="L828" s="62"/>
    </row>
    <row r="829" spans="1:82" ht="15" x14ac:dyDescent="0.2">
      <c r="C829" s="112" t="s">
        <v>845</v>
      </c>
      <c r="D829" s="112"/>
      <c r="E829" s="112"/>
      <c r="F829" s="112"/>
      <c r="G829" s="112"/>
      <c r="H829" s="112"/>
      <c r="I829" s="113">
        <f>K829/E827</f>
        <v>12728.791666666666</v>
      </c>
      <c r="J829" s="113"/>
      <c r="K829" s="113">
        <f>L827</f>
        <v>3054.91</v>
      </c>
      <c r="L829" s="113"/>
      <c r="AD829">
        <f>ROUND((Source!AT212/100)*((ROUND(ROUND(Source!AO212,2)*Source!I212, 2)+ROUND(ROUND(Source!AN212,2)*Source!I212, 2))), 2)</f>
        <v>0</v>
      </c>
      <c r="AE829">
        <f>ROUND((Source!AU212/100)*((ROUND(ROUND(Source!AO212,2)*Source!I212, 2)+ROUND(ROUND(Source!AN212,2)*Source!I212, 2))), 2)</f>
        <v>0</v>
      </c>
      <c r="AN829" s="50">
        <f>L827</f>
        <v>3054.91</v>
      </c>
      <c r="AO829">
        <f>0</f>
        <v>0</v>
      </c>
      <c r="AQ829" t="s">
        <v>846</v>
      </c>
      <c r="AR829">
        <f>0</f>
        <v>0</v>
      </c>
      <c r="AT829">
        <f>0</f>
        <v>0</v>
      </c>
      <c r="AV829" t="s">
        <v>846</v>
      </c>
      <c r="AW829" s="50">
        <f>L827</f>
        <v>3054.91</v>
      </c>
      <c r="AZ829">
        <f>Source!X212</f>
        <v>0</v>
      </c>
      <c r="BA829">
        <f>Source!Y212</f>
        <v>0</v>
      </c>
      <c r="CD829">
        <v>2</v>
      </c>
    </row>
    <row r="830" spans="1:82" ht="28.5" x14ac:dyDescent="0.2">
      <c r="A830" s="54" t="s">
        <v>319</v>
      </c>
      <c r="B830" s="45" t="str">
        <f>Source!F213</f>
        <v>08.3.08.02-0045</v>
      </c>
      <c r="C830" s="45" t="str">
        <f>Source!G213</f>
        <v>Уголок стальной горячекатаный равнополочный 63х63х5</v>
      </c>
      <c r="D830" s="46" t="str">
        <f>Source!H213</f>
        <v>т</v>
      </c>
      <c r="E830" s="47">
        <f>Source!K213</f>
        <v>0.11544</v>
      </c>
      <c r="F830" s="47"/>
      <c r="G830" s="47">
        <f>Source!I213</f>
        <v>0.11544</v>
      </c>
      <c r="H830" s="48">
        <f>Source!AL213</f>
        <v>60419.11</v>
      </c>
      <c r="I830" s="49"/>
      <c r="J830" s="48"/>
      <c r="K830" s="49"/>
      <c r="L830" s="48">
        <f>Source!P213</f>
        <v>6974.78</v>
      </c>
    </row>
    <row r="831" spans="1:82" ht="15" x14ac:dyDescent="0.2">
      <c r="C831" s="112" t="s">
        <v>845</v>
      </c>
      <c r="D831" s="112"/>
      <c r="E831" s="112"/>
      <c r="F831" s="112"/>
      <c r="G831" s="112"/>
      <c r="H831" s="112"/>
      <c r="I831" s="113">
        <f>K831/E830</f>
        <v>60419.092169092168</v>
      </c>
      <c r="J831" s="113"/>
      <c r="K831" s="113">
        <f>L830</f>
        <v>6974.78</v>
      </c>
      <c r="L831" s="113"/>
      <c r="AD831">
        <f>ROUND((Source!AT213/100)*((ROUND(ROUND(Source!AO213,2)*Source!I213, 2)+ROUND(ROUND(Source!AN213,2)*Source!I213, 2))), 2)</f>
        <v>0</v>
      </c>
      <c r="AE831">
        <f>ROUND((Source!AU213/100)*((ROUND(ROUND(Source!AO213,2)*Source!I213, 2)+ROUND(ROUND(Source!AN213,2)*Source!I213, 2))), 2)</f>
        <v>0</v>
      </c>
      <c r="AN831" s="50">
        <f>L830</f>
        <v>6974.78</v>
      </c>
      <c r="AO831">
        <f>0</f>
        <v>0</v>
      </c>
      <c r="AQ831" t="s">
        <v>846</v>
      </c>
      <c r="AR831">
        <f>0</f>
        <v>0</v>
      </c>
      <c r="AT831">
        <f>0</f>
        <v>0</v>
      </c>
      <c r="AV831" t="s">
        <v>846</v>
      </c>
      <c r="AW831" s="50">
        <f>L830</f>
        <v>6974.78</v>
      </c>
      <c r="AZ831">
        <f>Source!X213</f>
        <v>0</v>
      </c>
      <c r="BA831">
        <f>Source!Y213</f>
        <v>0</v>
      </c>
      <c r="CD831">
        <v>1</v>
      </c>
    </row>
    <row r="832" spans="1:82" ht="28.5" x14ac:dyDescent="0.2">
      <c r="A832" s="54" t="s">
        <v>321</v>
      </c>
      <c r="B832" s="45" t="str">
        <f>Source!F214</f>
        <v>08.3.07.01-0426</v>
      </c>
      <c r="C832" s="45" t="str">
        <f>Source!G214</f>
        <v>Прокат стальной горячекатаный полосовой, размеры 50х5 мм</v>
      </c>
      <c r="D832" s="46" t="str">
        <f>Source!H214</f>
        <v>т</v>
      </c>
      <c r="E832" s="47">
        <f>Source!K214</f>
        <v>8.2320000000000004E-2</v>
      </c>
      <c r="F832" s="47"/>
      <c r="G832" s="47">
        <f>Source!I214</f>
        <v>8.2320000000000004E-2</v>
      </c>
      <c r="H832" s="48">
        <f>Source!AL214</f>
        <v>86838.22</v>
      </c>
      <c r="I832" s="49">
        <f>IF(Source!BC214&lt;&gt; 0, Source!BC214, 1)</f>
        <v>0.88</v>
      </c>
      <c r="J832" s="48">
        <f>ROUND(H832*I832, 2)</f>
        <v>76417.63</v>
      </c>
      <c r="K832" s="49"/>
      <c r="L832" s="48">
        <f>Source!P214</f>
        <v>6290.7</v>
      </c>
    </row>
    <row r="833" spans="1:82" ht="15" x14ac:dyDescent="0.2">
      <c r="C833" s="112" t="s">
        <v>845</v>
      </c>
      <c r="D833" s="112"/>
      <c r="E833" s="112"/>
      <c r="F833" s="112"/>
      <c r="G833" s="112"/>
      <c r="H833" s="112"/>
      <c r="I833" s="113">
        <f>K833/E832</f>
        <v>76417.638483965013</v>
      </c>
      <c r="J833" s="113"/>
      <c r="K833" s="113">
        <f>L832</f>
        <v>6290.7</v>
      </c>
      <c r="L833" s="113"/>
      <c r="AD833">
        <f>ROUND((Source!AT214/100)*((ROUND(ROUND(Source!AO214,2)*Source!I214, 2)+ROUND(ROUND(Source!AN214,2)*Source!I214, 2))), 2)</f>
        <v>0</v>
      </c>
      <c r="AE833">
        <f>ROUND((Source!AU214/100)*((ROUND(ROUND(Source!AO214,2)*Source!I214, 2)+ROUND(ROUND(Source!AN214,2)*Source!I214, 2))), 2)</f>
        <v>0</v>
      </c>
      <c r="AN833" s="50">
        <f>L832</f>
        <v>6290.7</v>
      </c>
      <c r="AO833">
        <f>0</f>
        <v>0</v>
      </c>
      <c r="AQ833" t="s">
        <v>846</v>
      </c>
      <c r="AR833">
        <f>0</f>
        <v>0</v>
      </c>
      <c r="AT833">
        <f>0</f>
        <v>0</v>
      </c>
      <c r="AV833" t="s">
        <v>846</v>
      </c>
      <c r="AW833" s="50">
        <f>L832</f>
        <v>6290.7</v>
      </c>
      <c r="AZ833">
        <f>Source!X214</f>
        <v>0</v>
      </c>
      <c r="BA833">
        <f>Source!Y214</f>
        <v>0</v>
      </c>
      <c r="CD833">
        <v>1</v>
      </c>
    </row>
    <row r="834" spans="1:82" ht="28.5" x14ac:dyDescent="0.2">
      <c r="A834" s="54" t="s">
        <v>325</v>
      </c>
      <c r="B834" s="45" t="str">
        <f>Source!F215</f>
        <v>25.2.02.11-0021</v>
      </c>
      <c r="C834" s="45" t="str">
        <f>Source!G215</f>
        <v>Лента крепления нержавеющая, тип F 207,  длина 50 м</v>
      </c>
      <c r="D834" s="46" t="str">
        <f>Source!H215</f>
        <v>ШТ</v>
      </c>
      <c r="E834" s="47">
        <f>Source!K215</f>
        <v>10</v>
      </c>
      <c r="F834" s="47"/>
      <c r="G834" s="47">
        <f>Source!I215</f>
        <v>10</v>
      </c>
      <c r="H834" s="48">
        <f>Source!AL215</f>
        <v>4136.76</v>
      </c>
      <c r="I834" s="49">
        <f>IF(Source!BC215&lt;&gt; 0, Source!BC215, 1)</f>
        <v>1.1299999999999999</v>
      </c>
      <c r="J834" s="48">
        <f>ROUND(H834*I834, 2)</f>
        <v>4674.54</v>
      </c>
      <c r="K834" s="49"/>
      <c r="L834" s="48">
        <f>Source!P215</f>
        <v>46745.4</v>
      </c>
    </row>
    <row r="835" spans="1:82" ht="15" x14ac:dyDescent="0.2">
      <c r="C835" s="112" t="s">
        <v>845</v>
      </c>
      <c r="D835" s="112"/>
      <c r="E835" s="112"/>
      <c r="F835" s="112"/>
      <c r="G835" s="112"/>
      <c r="H835" s="112"/>
      <c r="I835" s="113">
        <f>K835/E834</f>
        <v>4674.54</v>
      </c>
      <c r="J835" s="113"/>
      <c r="K835" s="113">
        <f>L834</f>
        <v>46745.4</v>
      </c>
      <c r="L835" s="113"/>
      <c r="AD835">
        <f>ROUND((Source!AT215/100)*((ROUND(ROUND(Source!AO215,2)*Source!I215, 2)+ROUND(ROUND(Source!AN215,2)*Source!I215, 2))), 2)</f>
        <v>0</v>
      </c>
      <c r="AE835">
        <f>ROUND((Source!AU215/100)*((ROUND(ROUND(Source!AO215,2)*Source!I215, 2)+ROUND(ROUND(Source!AN215,2)*Source!I215, 2))), 2)</f>
        <v>0</v>
      </c>
      <c r="AN835" s="50">
        <f>L834</f>
        <v>46745.4</v>
      </c>
      <c r="AO835">
        <f>0</f>
        <v>0</v>
      </c>
      <c r="AQ835" t="s">
        <v>846</v>
      </c>
      <c r="AR835">
        <f>0</f>
        <v>0</v>
      </c>
      <c r="AT835">
        <f>0</f>
        <v>0</v>
      </c>
      <c r="AV835" t="s">
        <v>846</v>
      </c>
      <c r="AW835" s="50">
        <f>L834</f>
        <v>46745.4</v>
      </c>
      <c r="AZ835">
        <f>Source!X215</f>
        <v>0</v>
      </c>
      <c r="BA835">
        <f>Source!Y215</f>
        <v>0</v>
      </c>
      <c r="CD835">
        <v>1</v>
      </c>
    </row>
    <row r="836" spans="1:82" ht="28.5" x14ac:dyDescent="0.2">
      <c r="A836" s="35" t="s">
        <v>329</v>
      </c>
      <c r="B836" s="37" t="str">
        <f>Source!F216</f>
        <v>25.2.02.11-0051</v>
      </c>
      <c r="C836" s="37" t="str">
        <f>Source!G216</f>
        <v>Скрепы для фиксации на промежуточных опорах, размер 20 мм</v>
      </c>
      <c r="D836" s="38" t="str">
        <f>Source!H216</f>
        <v>100 ШТ</v>
      </c>
      <c r="E836" s="39">
        <f>Source!K216</f>
        <v>0.1</v>
      </c>
      <c r="F836" s="39"/>
      <c r="G836" s="39">
        <f>Source!I216</f>
        <v>0.1</v>
      </c>
      <c r="H836" s="41">
        <f>Source!AL216</f>
        <v>1367.14</v>
      </c>
      <c r="I836" s="40">
        <f>IF(Source!BC216&lt;&gt; 0, Source!BC216, 1)</f>
        <v>1.47</v>
      </c>
      <c r="J836" s="41">
        <f>ROUND(H836*I836, 2)</f>
        <v>2009.7</v>
      </c>
      <c r="K836" s="40"/>
      <c r="L836" s="41">
        <f>Source!P216</f>
        <v>200.97</v>
      </c>
    </row>
    <row r="837" spans="1:82" x14ac:dyDescent="0.2">
      <c r="A837" s="62"/>
      <c r="B837" s="62"/>
      <c r="C837" s="86" t="str">
        <f>"Объем: "&amp;Source!I216&amp;"=10/"&amp;"100"</f>
        <v>Объем: 0,1=10/100</v>
      </c>
      <c r="D837" s="62"/>
      <c r="E837" s="62"/>
      <c r="F837" s="62"/>
      <c r="G837" s="62"/>
      <c r="H837" s="62"/>
      <c r="I837" s="62"/>
      <c r="J837" s="62"/>
      <c r="K837" s="62"/>
      <c r="L837" s="62"/>
    </row>
    <row r="838" spans="1:82" ht="15" x14ac:dyDescent="0.2">
      <c r="C838" s="112" t="s">
        <v>845</v>
      </c>
      <c r="D838" s="112"/>
      <c r="E838" s="112"/>
      <c r="F838" s="112"/>
      <c r="G838" s="112"/>
      <c r="H838" s="112"/>
      <c r="I838" s="113">
        <f>K838/E836</f>
        <v>2009.6999999999998</v>
      </c>
      <c r="J838" s="113"/>
      <c r="K838" s="113">
        <f>L836</f>
        <v>200.97</v>
      </c>
      <c r="L838" s="113"/>
      <c r="AD838">
        <f>ROUND((Source!AT216/100)*((ROUND(ROUND(Source!AO216,2)*Source!I216, 2)+ROUND(ROUND(Source!AN216,2)*Source!I216, 2))), 2)</f>
        <v>0</v>
      </c>
      <c r="AE838">
        <f>ROUND((Source!AU216/100)*((ROUND(ROUND(Source!AO216,2)*Source!I216, 2)+ROUND(ROUND(Source!AN216,2)*Source!I216, 2))), 2)</f>
        <v>0</v>
      </c>
      <c r="AN838" s="50">
        <f>L836</f>
        <v>200.97</v>
      </c>
      <c r="AO838">
        <f>0</f>
        <v>0</v>
      </c>
      <c r="AQ838" t="s">
        <v>846</v>
      </c>
      <c r="AR838">
        <f>0</f>
        <v>0</v>
      </c>
      <c r="AT838">
        <f>0</f>
        <v>0</v>
      </c>
      <c r="AV838" t="s">
        <v>846</v>
      </c>
      <c r="AW838" s="50">
        <f>L836</f>
        <v>200.97</v>
      </c>
      <c r="AZ838">
        <f>Source!X216</f>
        <v>0</v>
      </c>
      <c r="BA838">
        <f>Source!Y216</f>
        <v>0</v>
      </c>
      <c r="CD838">
        <v>1</v>
      </c>
    </row>
    <row r="840" spans="1:82" ht="15" x14ac:dyDescent="0.2">
      <c r="A840" s="59"/>
      <c r="B840" s="60"/>
      <c r="C840" s="117" t="s">
        <v>881</v>
      </c>
      <c r="D840" s="117"/>
      <c r="E840" s="117"/>
      <c r="F840" s="117"/>
      <c r="G840" s="117"/>
      <c r="H840" s="117"/>
      <c r="I840" s="44"/>
      <c r="J840" s="59"/>
      <c r="K840" s="61"/>
      <c r="L840" s="44">
        <f>L842+L843+L849+L853</f>
        <v>68945.899999999994</v>
      </c>
    </row>
    <row r="841" spans="1:82" ht="14.25" x14ac:dyDescent="0.2">
      <c r="A841" s="52"/>
      <c r="B841" s="58"/>
      <c r="C841" s="116" t="s">
        <v>882</v>
      </c>
      <c r="D841" s="115"/>
      <c r="E841" s="115"/>
      <c r="F841" s="115"/>
      <c r="G841" s="115"/>
      <c r="H841" s="115"/>
      <c r="I841" s="41"/>
      <c r="J841" s="52"/>
      <c r="K841" s="39"/>
      <c r="L841" s="41"/>
    </row>
    <row r="842" spans="1:82" ht="14.25" hidden="1" x14ac:dyDescent="0.2">
      <c r="A842" s="52"/>
      <c r="B842" s="58"/>
      <c r="C842" s="115" t="s">
        <v>883</v>
      </c>
      <c r="D842" s="115"/>
      <c r="E842" s="115"/>
      <c r="F842" s="115"/>
      <c r="G842" s="115"/>
      <c r="H842" s="115"/>
      <c r="I842" s="41"/>
      <c r="J842" s="52"/>
      <c r="K842" s="39"/>
      <c r="L842" s="41">
        <f>SUM(AR816:AR838)</f>
        <v>0</v>
      </c>
    </row>
    <row r="843" spans="1:82" ht="14.25" hidden="1" x14ac:dyDescent="0.2">
      <c r="A843" s="52"/>
      <c r="B843" s="58"/>
      <c r="C843" s="115" t="s">
        <v>884</v>
      </c>
      <c r="D843" s="115"/>
      <c r="E843" s="115"/>
      <c r="F843" s="115"/>
      <c r="G843" s="115"/>
      <c r="H843" s="115"/>
      <c r="I843" s="41"/>
      <c r="J843" s="52"/>
      <c r="K843" s="39"/>
      <c r="L843" s="41">
        <f>L845+L848+L847</f>
        <v>0</v>
      </c>
    </row>
    <row r="844" spans="1:82" ht="14.25" hidden="1" x14ac:dyDescent="0.2">
      <c r="A844" s="52"/>
      <c r="B844" s="58"/>
      <c r="C844" s="116" t="s">
        <v>885</v>
      </c>
      <c r="D844" s="115"/>
      <c r="E844" s="115"/>
      <c r="F844" s="115"/>
      <c r="G844" s="115"/>
      <c r="H844" s="115"/>
      <c r="I844" s="41"/>
      <c r="J844" s="52"/>
      <c r="K844" s="39"/>
      <c r="L844" s="41"/>
    </row>
    <row r="845" spans="1:82" ht="14.25" hidden="1" x14ac:dyDescent="0.2">
      <c r="A845" s="52"/>
      <c r="B845" s="58"/>
      <c r="C845" s="115" t="s">
        <v>884</v>
      </c>
      <c r="D845" s="115"/>
      <c r="E845" s="115"/>
      <c r="F845" s="115"/>
      <c r="G845" s="115"/>
      <c r="H845" s="115"/>
      <c r="I845" s="41"/>
      <c r="J845" s="52"/>
      <c r="K845" s="39"/>
      <c r="L845" s="41">
        <f>SUM(AO816:AO838)</f>
        <v>0</v>
      </c>
    </row>
    <row r="846" spans="1:82" ht="14.25" hidden="1" x14ac:dyDescent="0.2">
      <c r="A846" s="52"/>
      <c r="B846" s="58"/>
      <c r="C846" s="116" t="s">
        <v>886</v>
      </c>
      <c r="D846" s="115"/>
      <c r="E846" s="115"/>
      <c r="F846" s="115"/>
      <c r="G846" s="115"/>
      <c r="H846" s="115"/>
      <c r="I846" s="41"/>
      <c r="J846" s="52"/>
      <c r="K846" s="39"/>
      <c r="L846" s="41"/>
    </row>
    <row r="847" spans="1:82" ht="14.25" hidden="1" x14ac:dyDescent="0.2">
      <c r="A847" s="52"/>
      <c r="B847" s="58"/>
      <c r="C847" s="115" t="s">
        <v>906</v>
      </c>
      <c r="D847" s="115"/>
      <c r="E847" s="115"/>
      <c r="F847" s="115"/>
      <c r="G847" s="115"/>
      <c r="H847" s="115"/>
      <c r="I847" s="41"/>
      <c r="J847" s="52"/>
      <c r="K847" s="39"/>
      <c r="L847" s="41">
        <f>SUM(AT816:AT838)</f>
        <v>0</v>
      </c>
    </row>
    <row r="848" spans="1:82" ht="14.25" hidden="1" x14ac:dyDescent="0.2">
      <c r="A848" s="52"/>
      <c r="B848" s="58"/>
      <c r="C848" s="115" t="s">
        <v>887</v>
      </c>
      <c r="D848" s="115"/>
      <c r="E848" s="115"/>
      <c r="F848" s="115"/>
      <c r="G848" s="115"/>
      <c r="H848" s="115"/>
      <c r="I848" s="41"/>
      <c r="J848" s="52"/>
      <c r="K848" s="39"/>
      <c r="L848" s="41">
        <f>SUM(AV816:AV838)</f>
        <v>0</v>
      </c>
    </row>
    <row r="849" spans="1:12" ht="14.25" x14ac:dyDescent="0.2">
      <c r="A849" s="52"/>
      <c r="B849" s="58"/>
      <c r="C849" s="115" t="s">
        <v>888</v>
      </c>
      <c r="D849" s="115"/>
      <c r="E849" s="115"/>
      <c r="F849" s="115"/>
      <c r="G849" s="115"/>
      <c r="H849" s="115"/>
      <c r="I849" s="41"/>
      <c r="J849" s="52"/>
      <c r="K849" s="39"/>
      <c r="L849" s="41">
        <f>L851+L852</f>
        <v>68945.899999999994</v>
      </c>
    </row>
    <row r="850" spans="1:12" ht="14.25" x14ac:dyDescent="0.2">
      <c r="A850" s="52"/>
      <c r="B850" s="58"/>
      <c r="C850" s="116" t="s">
        <v>885</v>
      </c>
      <c r="D850" s="115"/>
      <c r="E850" s="115"/>
      <c r="F850" s="115"/>
      <c r="G850" s="115"/>
      <c r="H850" s="115"/>
      <c r="I850" s="41"/>
      <c r="J850" s="52"/>
      <c r="K850" s="39"/>
      <c r="L850" s="41"/>
    </row>
    <row r="851" spans="1:12" ht="14.25" x14ac:dyDescent="0.2">
      <c r="A851" s="52"/>
      <c r="B851" s="58"/>
      <c r="C851" s="115" t="s">
        <v>889</v>
      </c>
      <c r="D851" s="115"/>
      <c r="E851" s="115"/>
      <c r="F851" s="115"/>
      <c r="G851" s="115"/>
      <c r="H851" s="115"/>
      <c r="I851" s="41"/>
      <c r="J851" s="52"/>
      <c r="K851" s="39"/>
      <c r="L851" s="41">
        <f>SUM(AW816:AW838)-SUM(BK816:BK838)</f>
        <v>68945.899999999994</v>
      </c>
    </row>
    <row r="852" spans="1:12" ht="14.25" hidden="1" x14ac:dyDescent="0.2">
      <c r="A852" s="52"/>
      <c r="B852" s="58"/>
      <c r="C852" s="115" t="s">
        <v>890</v>
      </c>
      <c r="D852" s="115"/>
      <c r="E852" s="115"/>
      <c r="F852" s="115"/>
      <c r="G852" s="115"/>
      <c r="H852" s="115"/>
      <c r="I852" s="41"/>
      <c r="J852" s="52"/>
      <c r="K852" s="39"/>
      <c r="L852" s="41">
        <f>SUM(BC816:BC838)</f>
        <v>0</v>
      </c>
    </row>
    <row r="853" spans="1:12" ht="14.25" hidden="1" x14ac:dyDescent="0.2">
      <c r="A853" s="52"/>
      <c r="B853" s="58"/>
      <c r="C853" s="115" t="s">
        <v>891</v>
      </c>
      <c r="D853" s="115"/>
      <c r="E853" s="115"/>
      <c r="F853" s="115"/>
      <c r="G853" s="115"/>
      <c r="H853" s="115"/>
      <c r="I853" s="41"/>
      <c r="J853" s="52"/>
      <c r="K853" s="39"/>
      <c r="L853" s="41">
        <f>SUM(BB816:BB838)</f>
        <v>0</v>
      </c>
    </row>
    <row r="854" spans="1:12" ht="14.25" hidden="1" x14ac:dyDescent="0.2">
      <c r="A854" s="52"/>
      <c r="B854" s="58"/>
      <c r="C854" s="115" t="s">
        <v>892</v>
      </c>
      <c r="D854" s="115"/>
      <c r="E854" s="115"/>
      <c r="F854" s="115"/>
      <c r="G854" s="115"/>
      <c r="H854" s="115"/>
      <c r="I854" s="41"/>
      <c r="J854" s="52"/>
      <c r="K854" s="39"/>
      <c r="L854" s="41">
        <f>SUM(AR816:AR838)+SUM(AT816:AT838)+SUM(AV816:AV838)</f>
        <v>0</v>
      </c>
    </row>
    <row r="855" spans="1:12" ht="14.25" hidden="1" x14ac:dyDescent="0.2">
      <c r="A855" s="52"/>
      <c r="B855" s="58"/>
      <c r="C855" s="115" t="s">
        <v>893</v>
      </c>
      <c r="D855" s="115"/>
      <c r="E855" s="115"/>
      <c r="F855" s="115"/>
      <c r="G855" s="115"/>
      <c r="H855" s="115"/>
      <c r="I855" s="41"/>
      <c r="J855" s="52"/>
      <c r="K855" s="39"/>
      <c r="L855" s="41">
        <f>SUM(AZ816:AZ838)</f>
        <v>0</v>
      </c>
    </row>
    <row r="856" spans="1:12" ht="14.25" hidden="1" x14ac:dyDescent="0.2">
      <c r="A856" s="52"/>
      <c r="B856" s="58"/>
      <c r="C856" s="115" t="s">
        <v>894</v>
      </c>
      <c r="D856" s="115"/>
      <c r="E856" s="115"/>
      <c r="F856" s="115"/>
      <c r="G856" s="115"/>
      <c r="H856" s="115"/>
      <c r="I856" s="41"/>
      <c r="J856" s="52"/>
      <c r="K856" s="39"/>
      <c r="L856" s="41">
        <f>SUM(BA816:BA838)</f>
        <v>0</v>
      </c>
    </row>
    <row r="857" spans="1:12" ht="14.25" hidden="1" x14ac:dyDescent="0.2">
      <c r="A857" s="52"/>
      <c r="B857" s="58"/>
      <c r="C857" s="115" t="s">
        <v>895</v>
      </c>
      <c r="D857" s="115"/>
      <c r="E857" s="115"/>
      <c r="F857" s="115"/>
      <c r="G857" s="115"/>
      <c r="H857" s="115"/>
      <c r="I857" s="41"/>
      <c r="J857" s="52"/>
      <c r="K857" s="39"/>
      <c r="L857" s="41">
        <f>L859+L860</f>
        <v>0</v>
      </c>
    </row>
    <row r="858" spans="1:12" ht="14.25" hidden="1" x14ac:dyDescent="0.2">
      <c r="A858" s="52"/>
      <c r="B858" s="58"/>
      <c r="C858" s="116" t="s">
        <v>882</v>
      </c>
      <c r="D858" s="115"/>
      <c r="E858" s="115"/>
      <c r="F858" s="115"/>
      <c r="G858" s="115"/>
      <c r="H858" s="115"/>
      <c r="I858" s="41"/>
      <c r="J858" s="52"/>
      <c r="K858" s="39"/>
      <c r="L858" s="41"/>
    </row>
    <row r="859" spans="1:12" ht="14.25" hidden="1" x14ac:dyDescent="0.2">
      <c r="A859" s="52"/>
      <c r="B859" s="58"/>
      <c r="C859" s="115" t="s">
        <v>896</v>
      </c>
      <c r="D859" s="115"/>
      <c r="E859" s="115"/>
      <c r="F859" s="115"/>
      <c r="G859" s="115"/>
      <c r="H859" s="115"/>
      <c r="I859" s="41"/>
      <c r="J859" s="52"/>
      <c r="K859" s="39"/>
      <c r="L859" s="41">
        <f>SUM(BK816:BK838)</f>
        <v>0</v>
      </c>
    </row>
    <row r="860" spans="1:12" ht="14.25" hidden="1" x14ac:dyDescent="0.2">
      <c r="A860" s="52"/>
      <c r="B860" s="58"/>
      <c r="C860" s="115" t="s">
        <v>897</v>
      </c>
      <c r="D860" s="115"/>
      <c r="E860" s="115"/>
      <c r="F860" s="115"/>
      <c r="G860" s="115"/>
      <c r="H860" s="115"/>
      <c r="I860" s="41"/>
      <c r="J860" s="52"/>
      <c r="K860" s="39"/>
      <c r="L860" s="41">
        <f>SUM(BD816:BD838)</f>
        <v>0</v>
      </c>
    </row>
    <row r="861" spans="1:12" ht="14.25" hidden="1" x14ac:dyDescent="0.2">
      <c r="A861" s="52"/>
      <c r="B861" s="58"/>
      <c r="C861" s="115" t="s">
        <v>898</v>
      </c>
      <c r="D861" s="115"/>
      <c r="E861" s="115"/>
      <c r="F861" s="115"/>
      <c r="G861" s="115"/>
      <c r="H861" s="115"/>
      <c r="I861" s="41"/>
      <c r="J861" s="52"/>
      <c r="K861" s="39"/>
      <c r="L861" s="41"/>
    </row>
    <row r="862" spans="1:12" ht="14.25" hidden="1" x14ac:dyDescent="0.2">
      <c r="A862" s="52"/>
      <c r="B862" s="58"/>
      <c r="C862" s="115" t="s">
        <v>899</v>
      </c>
      <c r="D862" s="115"/>
      <c r="E862" s="115"/>
      <c r="F862" s="115"/>
      <c r="G862" s="115"/>
      <c r="H862" s="115"/>
      <c r="I862" s="41"/>
      <c r="J862" s="52"/>
      <c r="K862" s="39"/>
      <c r="L862" s="41">
        <f>SUM(BO816:BO838)</f>
        <v>0</v>
      </c>
    </row>
    <row r="863" spans="1:12" ht="15" x14ac:dyDescent="0.2">
      <c r="A863" s="59"/>
      <c r="B863" s="60"/>
      <c r="C863" s="117" t="s">
        <v>900</v>
      </c>
      <c r="D863" s="117"/>
      <c r="E863" s="117"/>
      <c r="F863" s="117"/>
      <c r="G863" s="117"/>
      <c r="H863" s="117"/>
      <c r="I863" s="44"/>
      <c r="J863" s="59"/>
      <c r="K863" s="61"/>
      <c r="L863" s="44">
        <f>L840+L855+L856+L857+L861+L862</f>
        <v>68945.899999999994</v>
      </c>
    </row>
    <row r="864" spans="1:12" ht="14.25" hidden="1" x14ac:dyDescent="0.2">
      <c r="A864" s="52"/>
      <c r="B864" s="58"/>
      <c r="C864" s="116" t="s">
        <v>901</v>
      </c>
      <c r="D864" s="115"/>
      <c r="E864" s="115"/>
      <c r="F864" s="115"/>
      <c r="G864" s="115"/>
      <c r="H864" s="115"/>
      <c r="I864" s="41"/>
      <c r="J864" s="52"/>
      <c r="K864" s="39"/>
      <c r="L864" s="41"/>
    </row>
    <row r="865" spans="1:82" ht="14.25" hidden="1" x14ac:dyDescent="0.2">
      <c r="A865" s="52"/>
      <c r="B865" s="58"/>
      <c r="C865" s="115" t="s">
        <v>902</v>
      </c>
      <c r="D865" s="115"/>
      <c r="E865" s="115"/>
      <c r="F865" s="115"/>
      <c r="G865" s="115"/>
      <c r="H865" s="115"/>
      <c r="I865" s="41"/>
      <c r="J865" s="52"/>
      <c r="K865" s="39"/>
      <c r="L865" s="41">
        <f>SUM(AX816:AX838)</f>
        <v>0</v>
      </c>
    </row>
    <row r="866" spans="1:82" ht="14.25" hidden="1" x14ac:dyDescent="0.2">
      <c r="A866" s="52"/>
      <c r="B866" s="58"/>
      <c r="C866" s="115" t="s">
        <v>903</v>
      </c>
      <c r="D866" s="115"/>
      <c r="E866" s="115"/>
      <c r="F866" s="115"/>
      <c r="G866" s="115"/>
      <c r="H866" s="115"/>
      <c r="I866" s="41"/>
      <c r="J866" s="52"/>
      <c r="K866" s="39"/>
      <c r="L866" s="41">
        <f>SUM(AY816:AY838)</f>
        <v>0</v>
      </c>
    </row>
    <row r="867" spans="1:82" ht="14.25" hidden="1" customHeight="1" x14ac:dyDescent="0.2">
      <c r="A867" s="52"/>
      <c r="B867" s="58"/>
      <c r="C867" s="115" t="s">
        <v>904</v>
      </c>
      <c r="D867" s="115"/>
      <c r="E867" s="115"/>
      <c r="F867" s="118"/>
      <c r="G867" s="43">
        <f>Source!F240</f>
        <v>0</v>
      </c>
      <c r="H867" s="52"/>
      <c r="I867" s="52"/>
      <c r="J867" s="52"/>
      <c r="K867" s="52"/>
      <c r="L867" s="52"/>
    </row>
    <row r="868" spans="1:82" ht="14.25" hidden="1" customHeight="1" x14ac:dyDescent="0.2">
      <c r="A868" s="52"/>
      <c r="B868" s="58"/>
      <c r="C868" s="115" t="s">
        <v>905</v>
      </c>
      <c r="D868" s="115"/>
      <c r="E868" s="115"/>
      <c r="F868" s="118"/>
      <c r="G868" s="43">
        <f>Source!F241</f>
        <v>0</v>
      </c>
      <c r="H868" s="52"/>
      <c r="I868" s="52"/>
      <c r="J868" s="52"/>
      <c r="K868" s="52"/>
      <c r="L868" s="52"/>
    </row>
    <row r="871" spans="1:82" ht="16.5" x14ac:dyDescent="0.2">
      <c r="A871" s="114" t="s">
        <v>926</v>
      </c>
      <c r="B871" s="114"/>
      <c r="C871" s="114"/>
      <c r="D871" s="114"/>
      <c r="E871" s="114"/>
      <c r="F871" s="114"/>
      <c r="G871" s="114"/>
      <c r="H871" s="114"/>
      <c r="I871" s="114"/>
      <c r="J871" s="114"/>
      <c r="K871" s="114"/>
      <c r="L871" s="114"/>
    </row>
    <row r="872" spans="1:82" ht="28.5" x14ac:dyDescent="0.2">
      <c r="A872" s="54" t="s">
        <v>334</v>
      </c>
      <c r="B872" s="45" t="str">
        <f>Source!F252</f>
        <v>Цена поставцика</v>
      </c>
      <c r="C872" s="45" t="s">
        <v>927</v>
      </c>
      <c r="D872" s="46" t="str">
        <f>Source!H252</f>
        <v>ШТ</v>
      </c>
      <c r="E872" s="47">
        <f>Source!K252</f>
        <v>1</v>
      </c>
      <c r="F872" s="47"/>
      <c r="G872" s="47">
        <f>Source!I252</f>
        <v>1</v>
      </c>
      <c r="H872" s="48"/>
      <c r="I872" s="49"/>
      <c r="J872" s="48">
        <f>Source!AL252</f>
        <v>1606651.99</v>
      </c>
      <c r="K872" s="49"/>
      <c r="L872" s="48">
        <f>Source!HG252</f>
        <v>1606651.99</v>
      </c>
    </row>
    <row r="873" spans="1:82" ht="15" x14ac:dyDescent="0.2">
      <c r="C873" s="112" t="s">
        <v>845</v>
      </c>
      <c r="D873" s="112"/>
      <c r="E873" s="112"/>
      <c r="F873" s="112"/>
      <c r="G873" s="112"/>
      <c r="H873" s="112"/>
      <c r="I873" s="113">
        <f>K873/E872</f>
        <v>1606651.99</v>
      </c>
      <c r="J873" s="113"/>
      <c r="K873" s="113">
        <f>L872</f>
        <v>1606651.99</v>
      </c>
      <c r="L873" s="113"/>
      <c r="AD873">
        <f>ROUND((Source!AT252/100)*((ROUND(ROUND(Source!AO252,2)*Source!I252, 2)+ROUND(ROUND(Source!AN252,2)*Source!I252, 2))), 2)</f>
        <v>0</v>
      </c>
      <c r="AE873">
        <f>ROUND((Source!AU252/100)*((ROUND(ROUND(Source!AO252,2)*Source!I252, 2)+ROUND(ROUND(Source!AN252,2)*Source!I252, 2))), 2)</f>
        <v>0</v>
      </c>
      <c r="AN873" s="50">
        <f>L872</f>
        <v>1606651.99</v>
      </c>
      <c r="AO873">
        <f>0</f>
        <v>0</v>
      </c>
      <c r="AQ873" t="s">
        <v>846</v>
      </c>
      <c r="AR873">
        <f>0</f>
        <v>0</v>
      </c>
      <c r="AT873">
        <f>0</f>
        <v>0</v>
      </c>
      <c r="AV873" t="s">
        <v>846</v>
      </c>
      <c r="AW873" s="50">
        <f>L872</f>
        <v>1606651.99</v>
      </c>
      <c r="AX873" s="50">
        <f>L872</f>
        <v>1606651.99</v>
      </c>
      <c r="AZ873">
        <f>Source!X252</f>
        <v>0</v>
      </c>
      <c r="BA873">
        <f>Source!Y252</f>
        <v>0</v>
      </c>
      <c r="CD873">
        <v>0</v>
      </c>
    </row>
    <row r="874" spans="1:82" ht="42.75" x14ac:dyDescent="0.2">
      <c r="A874" s="54" t="s">
        <v>340</v>
      </c>
      <c r="B874" s="45" t="str">
        <f>Source!F253</f>
        <v>Цена поставцика</v>
      </c>
      <c r="C874" s="45" t="s">
        <v>928</v>
      </c>
      <c r="D874" s="46" t="str">
        <f>Source!H253</f>
        <v>ШТ</v>
      </c>
      <c r="E874" s="47">
        <f>Source!K253</f>
        <v>1</v>
      </c>
      <c r="F874" s="47"/>
      <c r="G874" s="47">
        <f>Source!I253</f>
        <v>1</v>
      </c>
      <c r="H874" s="48"/>
      <c r="I874" s="49"/>
      <c r="J874" s="48">
        <f>Source!AL253</f>
        <v>246015.61</v>
      </c>
      <c r="K874" s="49"/>
      <c r="L874" s="48">
        <f>Source!HG253</f>
        <v>246015.61</v>
      </c>
    </row>
    <row r="875" spans="1:82" ht="15" x14ac:dyDescent="0.2">
      <c r="C875" s="112" t="s">
        <v>845</v>
      </c>
      <c r="D875" s="112"/>
      <c r="E875" s="112"/>
      <c r="F875" s="112"/>
      <c r="G875" s="112"/>
      <c r="H875" s="112"/>
      <c r="I875" s="113">
        <f>K875/E874</f>
        <v>246015.61</v>
      </c>
      <c r="J875" s="113"/>
      <c r="K875" s="113">
        <f>L874</f>
        <v>246015.61</v>
      </c>
      <c r="L875" s="113"/>
      <c r="AD875">
        <f>ROUND((Source!AT253/100)*((ROUND(ROUND(Source!AO253,2)*Source!I253, 2)+ROUND(ROUND(Source!AN253,2)*Source!I253, 2))), 2)</f>
        <v>0</v>
      </c>
      <c r="AE875">
        <f>ROUND((Source!AU253/100)*((ROUND(ROUND(Source!AO253,2)*Source!I253, 2)+ROUND(ROUND(Source!AN253,2)*Source!I253, 2))), 2)</f>
        <v>0</v>
      </c>
      <c r="AN875" s="50">
        <f>L874</f>
        <v>246015.61</v>
      </c>
      <c r="AO875">
        <f>0</f>
        <v>0</v>
      </c>
      <c r="AQ875" t="s">
        <v>846</v>
      </c>
      <c r="AR875">
        <f>0</f>
        <v>0</v>
      </c>
      <c r="AT875">
        <f>0</f>
        <v>0</v>
      </c>
      <c r="AV875" t="s">
        <v>846</v>
      </c>
      <c r="AW875" s="50">
        <f>L874</f>
        <v>246015.61</v>
      </c>
      <c r="AX875" s="50">
        <f>L874</f>
        <v>246015.61</v>
      </c>
      <c r="AZ875">
        <f>Source!X253</f>
        <v>0</v>
      </c>
      <c r="BA875">
        <f>Source!Y253</f>
        <v>0</v>
      </c>
      <c r="CD875">
        <v>0</v>
      </c>
    </row>
    <row r="876" spans="1:82" ht="57" x14ac:dyDescent="0.2">
      <c r="A876" s="54" t="s">
        <v>343</v>
      </c>
      <c r="B876" s="45" t="str">
        <f>Source!F254</f>
        <v>Цена поставцика</v>
      </c>
      <c r="C876" s="45" t="s">
        <v>929</v>
      </c>
      <c r="D876" s="46" t="str">
        <f>Source!H254</f>
        <v>КОМП</v>
      </c>
      <c r="E876" s="47">
        <f>Source!K254</f>
        <v>1</v>
      </c>
      <c r="F876" s="47"/>
      <c r="G876" s="47">
        <f>Source!I254</f>
        <v>1</v>
      </c>
      <c r="H876" s="48"/>
      <c r="I876" s="49"/>
      <c r="J876" s="48">
        <f>Source!AL254</f>
        <v>40263.869999999995</v>
      </c>
      <c r="K876" s="49"/>
      <c r="L876" s="48">
        <f>Source!HG254</f>
        <v>40263.870000000003</v>
      </c>
    </row>
    <row r="877" spans="1:82" ht="15" x14ac:dyDescent="0.2">
      <c r="C877" s="112" t="s">
        <v>845</v>
      </c>
      <c r="D877" s="112"/>
      <c r="E877" s="112"/>
      <c r="F877" s="112"/>
      <c r="G877" s="112"/>
      <c r="H877" s="112"/>
      <c r="I877" s="113">
        <f>K877/E876</f>
        <v>40263.870000000003</v>
      </c>
      <c r="J877" s="113"/>
      <c r="K877" s="113">
        <f>L876</f>
        <v>40263.870000000003</v>
      </c>
      <c r="L877" s="113"/>
      <c r="AD877">
        <f>ROUND((Source!AT254/100)*((ROUND(ROUND(Source!AO254,2)*Source!I254, 2)+ROUND(ROUND(Source!AN254,2)*Source!I254, 2))), 2)</f>
        <v>0</v>
      </c>
      <c r="AE877">
        <f>ROUND((Source!AU254/100)*((ROUND(ROUND(Source!AO254,2)*Source!I254, 2)+ROUND(ROUND(Source!AN254,2)*Source!I254, 2))), 2)</f>
        <v>0</v>
      </c>
      <c r="AN877" s="50">
        <f>L876</f>
        <v>40263.870000000003</v>
      </c>
      <c r="AO877">
        <f>0</f>
        <v>0</v>
      </c>
      <c r="AQ877" t="s">
        <v>846</v>
      </c>
      <c r="AR877">
        <f>0</f>
        <v>0</v>
      </c>
      <c r="AT877">
        <f>0</f>
        <v>0</v>
      </c>
      <c r="AV877" t="s">
        <v>846</v>
      </c>
      <c r="AW877" s="50">
        <f>L876</f>
        <v>40263.870000000003</v>
      </c>
      <c r="AX877" s="50">
        <f>L876</f>
        <v>40263.870000000003</v>
      </c>
      <c r="AZ877">
        <f>Source!X254</f>
        <v>0</v>
      </c>
      <c r="BA877">
        <f>Source!Y254</f>
        <v>0</v>
      </c>
      <c r="CD877">
        <v>0</v>
      </c>
    </row>
    <row r="879" spans="1:82" ht="15" x14ac:dyDescent="0.2">
      <c r="A879" s="59"/>
      <c r="B879" s="60"/>
      <c r="C879" s="117" t="s">
        <v>881</v>
      </c>
      <c r="D879" s="117"/>
      <c r="E879" s="117"/>
      <c r="F879" s="117"/>
      <c r="G879" s="117"/>
      <c r="H879" s="117"/>
      <c r="I879" s="44"/>
      <c r="J879" s="59"/>
      <c r="K879" s="61"/>
      <c r="L879" s="44">
        <f>L881+L882+L888+L892</f>
        <v>1892931.4700000002</v>
      </c>
    </row>
    <row r="880" spans="1:82" ht="14.25" x14ac:dyDescent="0.2">
      <c r="A880" s="52"/>
      <c r="B880" s="58"/>
      <c r="C880" s="116" t="s">
        <v>882</v>
      </c>
      <c r="D880" s="115"/>
      <c r="E880" s="115"/>
      <c r="F880" s="115"/>
      <c r="G880" s="115"/>
      <c r="H880" s="115"/>
      <c r="I880" s="41"/>
      <c r="J880" s="52"/>
      <c r="K880" s="39"/>
      <c r="L880" s="41"/>
    </row>
    <row r="881" spans="1:12" ht="14.25" hidden="1" x14ac:dyDescent="0.2">
      <c r="A881" s="52"/>
      <c r="B881" s="58"/>
      <c r="C881" s="115" t="s">
        <v>883</v>
      </c>
      <c r="D881" s="115"/>
      <c r="E881" s="115"/>
      <c r="F881" s="115"/>
      <c r="G881" s="115"/>
      <c r="H881" s="115"/>
      <c r="I881" s="41"/>
      <c r="J881" s="52"/>
      <c r="K881" s="39"/>
      <c r="L881" s="41">
        <f>SUM(AR871:AR877)</f>
        <v>0</v>
      </c>
    </row>
    <row r="882" spans="1:12" ht="14.25" hidden="1" x14ac:dyDescent="0.2">
      <c r="A882" s="52"/>
      <c r="B882" s="58"/>
      <c r="C882" s="115" t="s">
        <v>884</v>
      </c>
      <c r="D882" s="115"/>
      <c r="E882" s="115"/>
      <c r="F882" s="115"/>
      <c r="G882" s="115"/>
      <c r="H882" s="115"/>
      <c r="I882" s="41"/>
      <c r="J882" s="52"/>
      <c r="K882" s="39"/>
      <c r="L882" s="41">
        <f>L884+L887+L886</f>
        <v>0</v>
      </c>
    </row>
    <row r="883" spans="1:12" ht="14.25" hidden="1" x14ac:dyDescent="0.2">
      <c r="A883" s="52"/>
      <c r="B883" s="58"/>
      <c r="C883" s="116" t="s">
        <v>885</v>
      </c>
      <c r="D883" s="115"/>
      <c r="E883" s="115"/>
      <c r="F883" s="115"/>
      <c r="G883" s="115"/>
      <c r="H883" s="115"/>
      <c r="I883" s="41"/>
      <c r="J883" s="52"/>
      <c r="K883" s="39"/>
      <c r="L883" s="41"/>
    </row>
    <row r="884" spans="1:12" ht="14.25" hidden="1" x14ac:dyDescent="0.2">
      <c r="A884" s="52"/>
      <c r="B884" s="58"/>
      <c r="C884" s="115" t="s">
        <v>884</v>
      </c>
      <c r="D884" s="115"/>
      <c r="E884" s="115"/>
      <c r="F884" s="115"/>
      <c r="G884" s="115"/>
      <c r="H884" s="115"/>
      <c r="I884" s="41"/>
      <c r="J884" s="52"/>
      <c r="K884" s="39"/>
      <c r="L884" s="41">
        <f>SUM(AO871:AO877)</f>
        <v>0</v>
      </c>
    </row>
    <row r="885" spans="1:12" ht="14.25" hidden="1" x14ac:dyDescent="0.2">
      <c r="A885" s="52"/>
      <c r="B885" s="58"/>
      <c r="C885" s="116" t="s">
        <v>886</v>
      </c>
      <c r="D885" s="115"/>
      <c r="E885" s="115"/>
      <c r="F885" s="115"/>
      <c r="G885" s="115"/>
      <c r="H885" s="115"/>
      <c r="I885" s="41"/>
      <c r="J885" s="52"/>
      <c r="K885" s="39"/>
      <c r="L885" s="41"/>
    </row>
    <row r="886" spans="1:12" ht="14.25" hidden="1" x14ac:dyDescent="0.2">
      <c r="A886" s="52"/>
      <c r="B886" s="58"/>
      <c r="C886" s="115" t="s">
        <v>906</v>
      </c>
      <c r="D886" s="115"/>
      <c r="E886" s="115"/>
      <c r="F886" s="115"/>
      <c r="G886" s="115"/>
      <c r="H886" s="115"/>
      <c r="I886" s="41"/>
      <c r="J886" s="52"/>
      <c r="K886" s="39"/>
      <c r="L886" s="41">
        <f>SUM(AT871:AT877)</f>
        <v>0</v>
      </c>
    </row>
    <row r="887" spans="1:12" ht="14.25" hidden="1" x14ac:dyDescent="0.2">
      <c r="A887" s="52"/>
      <c r="B887" s="58"/>
      <c r="C887" s="115" t="s">
        <v>887</v>
      </c>
      <c r="D887" s="115"/>
      <c r="E887" s="115"/>
      <c r="F887" s="115"/>
      <c r="G887" s="115"/>
      <c r="H887" s="115"/>
      <c r="I887" s="41"/>
      <c r="J887" s="52"/>
      <c r="K887" s="39"/>
      <c r="L887" s="41">
        <f>SUM(AV871:AV877)</f>
        <v>0</v>
      </c>
    </row>
    <row r="888" spans="1:12" ht="14.25" x14ac:dyDescent="0.2">
      <c r="A888" s="52"/>
      <c r="B888" s="58"/>
      <c r="C888" s="115" t="s">
        <v>888</v>
      </c>
      <c r="D888" s="115"/>
      <c r="E888" s="115"/>
      <c r="F888" s="115"/>
      <c r="G888" s="115"/>
      <c r="H888" s="115"/>
      <c r="I888" s="41"/>
      <c r="J888" s="52"/>
      <c r="K888" s="39"/>
      <c r="L888" s="41">
        <f>L890+L891</f>
        <v>1892931.4700000002</v>
      </c>
    </row>
    <row r="889" spans="1:12" ht="14.25" x14ac:dyDescent="0.2">
      <c r="A889" s="52"/>
      <c r="B889" s="58"/>
      <c r="C889" s="116" t="s">
        <v>885</v>
      </c>
      <c r="D889" s="115"/>
      <c r="E889" s="115"/>
      <c r="F889" s="115"/>
      <c r="G889" s="115"/>
      <c r="H889" s="115"/>
      <c r="I889" s="41"/>
      <c r="J889" s="52"/>
      <c r="K889" s="39"/>
      <c r="L889" s="41"/>
    </row>
    <row r="890" spans="1:12" ht="14.25" x14ac:dyDescent="0.2">
      <c r="A890" s="52"/>
      <c r="B890" s="58"/>
      <c r="C890" s="115" t="s">
        <v>889</v>
      </c>
      <c r="D890" s="115"/>
      <c r="E890" s="115"/>
      <c r="F890" s="115"/>
      <c r="G890" s="115"/>
      <c r="H890" s="115"/>
      <c r="I890" s="41"/>
      <c r="J890" s="52"/>
      <c r="K890" s="39"/>
      <c r="L890" s="41">
        <f>SUM(AW871:AW877)-SUM(BK871:BK877)</f>
        <v>1892931.4700000002</v>
      </c>
    </row>
    <row r="891" spans="1:12" ht="14.25" hidden="1" x14ac:dyDescent="0.2">
      <c r="A891" s="52"/>
      <c r="B891" s="58"/>
      <c r="C891" s="115" t="s">
        <v>890</v>
      </c>
      <c r="D891" s="115"/>
      <c r="E891" s="115"/>
      <c r="F891" s="115"/>
      <c r="G891" s="115"/>
      <c r="H891" s="115"/>
      <c r="I891" s="41"/>
      <c r="J891" s="52"/>
      <c r="K891" s="39"/>
      <c r="L891" s="41">
        <f>SUM(BC871:BC877)</f>
        <v>0</v>
      </c>
    </row>
    <row r="892" spans="1:12" ht="14.25" hidden="1" x14ac:dyDescent="0.2">
      <c r="A892" s="52"/>
      <c r="B892" s="58"/>
      <c r="C892" s="115" t="s">
        <v>891</v>
      </c>
      <c r="D892" s="115"/>
      <c r="E892" s="115"/>
      <c r="F892" s="115"/>
      <c r="G892" s="115"/>
      <c r="H892" s="115"/>
      <c r="I892" s="41"/>
      <c r="J892" s="52"/>
      <c r="K892" s="39"/>
      <c r="L892" s="41">
        <f>SUM(BB871:BB877)</f>
        <v>0</v>
      </c>
    </row>
    <row r="893" spans="1:12" ht="14.25" hidden="1" x14ac:dyDescent="0.2">
      <c r="A893" s="52"/>
      <c r="B893" s="58"/>
      <c r="C893" s="115" t="s">
        <v>892</v>
      </c>
      <c r="D893" s="115"/>
      <c r="E893" s="115"/>
      <c r="F893" s="115"/>
      <c r="G893" s="115"/>
      <c r="H893" s="115"/>
      <c r="I893" s="41"/>
      <c r="J893" s="52"/>
      <c r="K893" s="39"/>
      <c r="L893" s="41">
        <f>SUM(AR871:AR877)+SUM(AT871:AT877)+SUM(AV871:AV877)</f>
        <v>0</v>
      </c>
    </row>
    <row r="894" spans="1:12" ht="14.25" hidden="1" x14ac:dyDescent="0.2">
      <c r="A894" s="52"/>
      <c r="B894" s="58"/>
      <c r="C894" s="115" t="s">
        <v>893</v>
      </c>
      <c r="D894" s="115"/>
      <c r="E894" s="115"/>
      <c r="F894" s="115"/>
      <c r="G894" s="115"/>
      <c r="H894" s="115"/>
      <c r="I894" s="41"/>
      <c r="J894" s="52"/>
      <c r="K894" s="39"/>
      <c r="L894" s="41">
        <f>SUM(AZ871:AZ877)</f>
        <v>0</v>
      </c>
    </row>
    <row r="895" spans="1:12" ht="14.25" hidden="1" x14ac:dyDescent="0.2">
      <c r="A895" s="52"/>
      <c r="B895" s="58"/>
      <c r="C895" s="115" t="s">
        <v>894</v>
      </c>
      <c r="D895" s="115"/>
      <c r="E895" s="115"/>
      <c r="F895" s="115"/>
      <c r="G895" s="115"/>
      <c r="H895" s="115"/>
      <c r="I895" s="41"/>
      <c r="J895" s="52"/>
      <c r="K895" s="39"/>
      <c r="L895" s="41">
        <f>SUM(BA871:BA877)</f>
        <v>0</v>
      </c>
    </row>
    <row r="896" spans="1:12" ht="14.25" hidden="1" x14ac:dyDescent="0.2">
      <c r="A896" s="52"/>
      <c r="B896" s="58"/>
      <c r="C896" s="115" t="s">
        <v>895</v>
      </c>
      <c r="D896" s="115"/>
      <c r="E896" s="115"/>
      <c r="F896" s="115"/>
      <c r="G896" s="115"/>
      <c r="H896" s="115"/>
      <c r="I896" s="41"/>
      <c r="J896" s="52"/>
      <c r="K896" s="39"/>
      <c r="L896" s="41">
        <f>L898+L899</f>
        <v>0</v>
      </c>
    </row>
    <row r="897" spans="1:12" ht="14.25" hidden="1" x14ac:dyDescent="0.2">
      <c r="A897" s="52"/>
      <c r="B897" s="58"/>
      <c r="C897" s="116" t="s">
        <v>882</v>
      </c>
      <c r="D897" s="115"/>
      <c r="E897" s="115"/>
      <c r="F897" s="115"/>
      <c r="G897" s="115"/>
      <c r="H897" s="115"/>
      <c r="I897" s="41"/>
      <c r="J897" s="52"/>
      <c r="K897" s="39"/>
      <c r="L897" s="41"/>
    </row>
    <row r="898" spans="1:12" ht="14.25" hidden="1" x14ac:dyDescent="0.2">
      <c r="A898" s="52"/>
      <c r="B898" s="58"/>
      <c r="C898" s="115" t="s">
        <v>896</v>
      </c>
      <c r="D898" s="115"/>
      <c r="E898" s="115"/>
      <c r="F898" s="115"/>
      <c r="G898" s="115"/>
      <c r="H898" s="115"/>
      <c r="I898" s="41"/>
      <c r="J898" s="52"/>
      <c r="K898" s="39"/>
      <c r="L898" s="41">
        <f>SUM(BK871:BK877)</f>
        <v>0</v>
      </c>
    </row>
    <row r="899" spans="1:12" ht="14.25" hidden="1" x14ac:dyDescent="0.2">
      <c r="A899" s="52"/>
      <c r="B899" s="58"/>
      <c r="C899" s="115" t="s">
        <v>897</v>
      </c>
      <c r="D899" s="115"/>
      <c r="E899" s="115"/>
      <c r="F899" s="115"/>
      <c r="G899" s="115"/>
      <c r="H899" s="115"/>
      <c r="I899" s="41"/>
      <c r="J899" s="52"/>
      <c r="K899" s="39"/>
      <c r="L899" s="41">
        <f>SUM(BD871:BD877)</f>
        <v>0</v>
      </c>
    </row>
    <row r="900" spans="1:12" ht="14.25" hidden="1" x14ac:dyDescent="0.2">
      <c r="A900" s="52"/>
      <c r="B900" s="58"/>
      <c r="C900" s="115" t="s">
        <v>898</v>
      </c>
      <c r="D900" s="115"/>
      <c r="E900" s="115"/>
      <c r="F900" s="115"/>
      <c r="G900" s="115"/>
      <c r="H900" s="115"/>
      <c r="I900" s="41"/>
      <c r="J900" s="52"/>
      <c r="K900" s="39"/>
      <c r="L900" s="41"/>
    </row>
    <row r="901" spans="1:12" ht="14.25" hidden="1" x14ac:dyDescent="0.2">
      <c r="A901" s="52"/>
      <c r="B901" s="58"/>
      <c r="C901" s="115" t="s">
        <v>899</v>
      </c>
      <c r="D901" s="115"/>
      <c r="E901" s="115"/>
      <c r="F901" s="115"/>
      <c r="G901" s="115"/>
      <c r="H901" s="115"/>
      <c r="I901" s="41"/>
      <c r="J901" s="52"/>
      <c r="K901" s="39"/>
      <c r="L901" s="41">
        <f>SUM(BO871:BO877)</f>
        <v>0</v>
      </c>
    </row>
    <row r="902" spans="1:12" ht="15" x14ac:dyDescent="0.2">
      <c r="A902" s="59"/>
      <c r="B902" s="60"/>
      <c r="C902" s="117" t="s">
        <v>900</v>
      </c>
      <c r="D902" s="117"/>
      <c r="E902" s="117"/>
      <c r="F902" s="117"/>
      <c r="G902" s="117"/>
      <c r="H902" s="117"/>
      <c r="I902" s="44"/>
      <c r="J902" s="59"/>
      <c r="K902" s="61"/>
      <c r="L902" s="44">
        <f>L879+L894+L895+L896+L900+L901</f>
        <v>1892931.4700000002</v>
      </c>
    </row>
    <row r="903" spans="1:12" ht="14.25" x14ac:dyDescent="0.2">
      <c r="A903" s="52"/>
      <c r="B903" s="58"/>
      <c r="C903" s="116" t="s">
        <v>901</v>
      </c>
      <c r="D903" s="115"/>
      <c r="E903" s="115"/>
      <c r="F903" s="115"/>
      <c r="G903" s="115"/>
      <c r="H903" s="115"/>
      <c r="I903" s="41"/>
      <c r="J903" s="52"/>
      <c r="K903" s="39"/>
      <c r="L903" s="41"/>
    </row>
    <row r="904" spans="1:12" ht="14.25" x14ac:dyDescent="0.2">
      <c r="A904" s="52"/>
      <c r="B904" s="58"/>
      <c r="C904" s="115" t="s">
        <v>902</v>
      </c>
      <c r="D904" s="115"/>
      <c r="E904" s="115"/>
      <c r="F904" s="115"/>
      <c r="G904" s="115"/>
      <c r="H904" s="115"/>
      <c r="I904" s="41"/>
      <c r="J904" s="52"/>
      <c r="K904" s="39"/>
      <c r="L904" s="41">
        <f>SUM(AX871:AX877)</f>
        <v>1892931.4700000002</v>
      </c>
    </row>
    <row r="905" spans="1:12" ht="14.25" hidden="1" x14ac:dyDescent="0.2">
      <c r="A905" s="52"/>
      <c r="B905" s="58"/>
      <c r="C905" s="115" t="s">
        <v>903</v>
      </c>
      <c r="D905" s="115"/>
      <c r="E905" s="115"/>
      <c r="F905" s="115"/>
      <c r="G905" s="115"/>
      <c r="H905" s="115"/>
      <c r="I905" s="41"/>
      <c r="J905" s="52"/>
      <c r="K905" s="39"/>
      <c r="L905" s="41">
        <f>SUM(AY871:AY877)</f>
        <v>0</v>
      </c>
    </row>
    <row r="906" spans="1:12" ht="14.25" hidden="1" customHeight="1" x14ac:dyDescent="0.2">
      <c r="A906" s="52"/>
      <c r="B906" s="58"/>
      <c r="C906" s="115" t="s">
        <v>904</v>
      </c>
      <c r="D906" s="115"/>
      <c r="E906" s="115"/>
      <c r="F906" s="118"/>
      <c r="G906" s="43">
        <f>Source!F278</f>
        <v>0</v>
      </c>
      <c r="H906" s="52"/>
      <c r="I906" s="52"/>
      <c r="J906" s="52"/>
      <c r="K906" s="52"/>
      <c r="L906" s="52"/>
    </row>
    <row r="907" spans="1:12" ht="14.25" hidden="1" customHeight="1" x14ac:dyDescent="0.2">
      <c r="A907" s="52"/>
      <c r="B907" s="58"/>
      <c r="C907" s="115" t="s">
        <v>905</v>
      </c>
      <c r="D907" s="115"/>
      <c r="E907" s="115"/>
      <c r="F907" s="118"/>
      <c r="G907" s="43">
        <f>Source!F279</f>
        <v>0</v>
      </c>
      <c r="H907" s="52"/>
      <c r="I907" s="52"/>
      <c r="J907" s="52"/>
      <c r="K907" s="52"/>
      <c r="L907" s="52"/>
    </row>
    <row r="910" spans="1:12" ht="16.5" x14ac:dyDescent="0.2">
      <c r="A910" s="114" t="s">
        <v>930</v>
      </c>
      <c r="B910" s="114"/>
      <c r="C910" s="114"/>
      <c r="D910" s="114"/>
      <c r="E910" s="114"/>
      <c r="F910" s="114"/>
      <c r="G910" s="114"/>
      <c r="H910" s="114"/>
      <c r="I910" s="114"/>
      <c r="J910" s="114"/>
      <c r="K910" s="114"/>
      <c r="L910" s="114"/>
    </row>
    <row r="911" spans="1:12" ht="42.75" x14ac:dyDescent="0.2">
      <c r="A911" s="35" t="s">
        <v>348</v>
      </c>
      <c r="B911" s="37" t="s">
        <v>931</v>
      </c>
      <c r="C911" s="37" t="str">
        <f>Source!G290</f>
        <v>Фазировка электрической линии или трансформатора с сетью напряжением: свыше 1 кВ</v>
      </c>
      <c r="D911" s="38" t="str">
        <f>Source!H290</f>
        <v>ШТ</v>
      </c>
      <c r="E911" s="39">
        <f>Source!K290</f>
        <v>3</v>
      </c>
      <c r="F911" s="39"/>
      <c r="G911" s="39">
        <f>Source!I290</f>
        <v>3</v>
      </c>
      <c r="H911" s="41"/>
      <c r="I911" s="40"/>
      <c r="J911" s="41"/>
      <c r="K911" s="40"/>
      <c r="L911" s="41"/>
    </row>
    <row r="912" spans="1:12" ht="15" x14ac:dyDescent="0.2">
      <c r="A912" s="36"/>
      <c r="B912" s="39">
        <v>1</v>
      </c>
      <c r="C912" s="36" t="s">
        <v>835</v>
      </c>
      <c r="D912" s="38" t="s">
        <v>509</v>
      </c>
      <c r="E912" s="43"/>
      <c r="F912" s="39"/>
      <c r="G912" s="43">
        <f>Source!U290</f>
        <v>4.8600000000000003</v>
      </c>
      <c r="H912" s="39"/>
      <c r="I912" s="39"/>
      <c r="J912" s="39"/>
      <c r="K912" s="39"/>
      <c r="L912" s="44">
        <f>SUM(L913:L914)-SUMIF(CE913:CE914, 1, L913:L914)</f>
        <v>3166.87</v>
      </c>
    </row>
    <row r="913" spans="1:82" ht="14.25" x14ac:dyDescent="0.2">
      <c r="A913" s="37"/>
      <c r="B913" s="37" t="s">
        <v>757</v>
      </c>
      <c r="C913" s="37" t="s">
        <v>758</v>
      </c>
      <c r="D913" s="38" t="s">
        <v>699</v>
      </c>
      <c r="E913" s="39">
        <v>0.81</v>
      </c>
      <c r="F913" s="39"/>
      <c r="G913" s="39">
        <f>SmtRes!CX290</f>
        <v>2.4300000000000002</v>
      </c>
      <c r="H913" s="41"/>
      <c r="I913" s="40"/>
      <c r="J913" s="41">
        <f>SmtRes!CZ290</f>
        <v>658.94</v>
      </c>
      <c r="K913" s="40"/>
      <c r="L913" s="41">
        <f>SmtRes!DI290</f>
        <v>1601.22</v>
      </c>
    </row>
    <row r="914" spans="1:82" ht="14.25" x14ac:dyDescent="0.2">
      <c r="A914" s="37"/>
      <c r="B914" s="37" t="s">
        <v>759</v>
      </c>
      <c r="C914" s="45" t="s">
        <v>760</v>
      </c>
      <c r="D914" s="46" t="s">
        <v>699</v>
      </c>
      <c r="E914" s="47">
        <v>0.81</v>
      </c>
      <c r="F914" s="47"/>
      <c r="G914" s="47">
        <f>SmtRes!CX291</f>
        <v>2.4300000000000002</v>
      </c>
      <c r="H914" s="48"/>
      <c r="I914" s="49"/>
      <c r="J914" s="48">
        <f>SmtRes!CZ291</f>
        <v>644.29999999999995</v>
      </c>
      <c r="K914" s="49"/>
      <c r="L914" s="48">
        <f>SmtRes!DI291</f>
        <v>1565.65</v>
      </c>
    </row>
    <row r="915" spans="1:82" ht="15" x14ac:dyDescent="0.2">
      <c r="A915" s="37"/>
      <c r="B915" s="37"/>
      <c r="C915" s="51" t="s">
        <v>841</v>
      </c>
      <c r="D915" s="38"/>
      <c r="E915" s="39"/>
      <c r="F915" s="39"/>
      <c r="G915" s="39"/>
      <c r="H915" s="41"/>
      <c r="I915" s="40"/>
      <c r="J915" s="41"/>
      <c r="K915" s="40"/>
      <c r="L915" s="41">
        <f>L912</f>
        <v>3166.87</v>
      </c>
    </row>
    <row r="916" spans="1:82" ht="14.25" x14ac:dyDescent="0.2">
      <c r="A916" s="37"/>
      <c r="B916" s="37"/>
      <c r="C916" s="37" t="s">
        <v>842</v>
      </c>
      <c r="D916" s="38"/>
      <c r="E916" s="39"/>
      <c r="F916" s="39"/>
      <c r="G916" s="39"/>
      <c r="H916" s="41"/>
      <c r="I916" s="40"/>
      <c r="J916" s="41"/>
      <c r="K916" s="40"/>
      <c r="L916" s="41">
        <f>SUM(AR911:AR919)+SUM(AS911:AS919)+SUM(AT911:AT919)+SUM(AU911:AU919)+SUM(AV911:AV919)</f>
        <v>3166.87</v>
      </c>
    </row>
    <row r="917" spans="1:82" ht="14.25" x14ac:dyDescent="0.2">
      <c r="A917" s="37"/>
      <c r="B917" s="37" t="s">
        <v>354</v>
      </c>
      <c r="C917" s="37" t="s">
        <v>932</v>
      </c>
      <c r="D917" s="38" t="s">
        <v>669</v>
      </c>
      <c r="E917" s="39">
        <f>Source!BZ290</f>
        <v>74</v>
      </c>
      <c r="F917" s="39"/>
      <c r="G917" s="39">
        <f>Source!AT290</f>
        <v>74</v>
      </c>
      <c r="H917" s="41"/>
      <c r="I917" s="40"/>
      <c r="J917" s="41"/>
      <c r="K917" s="40"/>
      <c r="L917" s="41">
        <f>SUM(AZ911:AZ919)</f>
        <v>2343.48</v>
      </c>
    </row>
    <row r="918" spans="1:82" ht="14.25" x14ac:dyDescent="0.2">
      <c r="A918" s="45"/>
      <c r="B918" s="45" t="s">
        <v>355</v>
      </c>
      <c r="C918" s="45" t="s">
        <v>933</v>
      </c>
      <c r="D918" s="46" t="s">
        <v>669</v>
      </c>
      <c r="E918" s="47">
        <f>Source!CA290</f>
        <v>36</v>
      </c>
      <c r="F918" s="47"/>
      <c r="G918" s="47">
        <f>Source!AU290</f>
        <v>36</v>
      </c>
      <c r="H918" s="48"/>
      <c r="I918" s="49"/>
      <c r="J918" s="48"/>
      <c r="K918" s="49"/>
      <c r="L918" s="48">
        <f>SUM(BA911:BA919)</f>
        <v>1140.07</v>
      </c>
    </row>
    <row r="919" spans="1:82" ht="15" x14ac:dyDescent="0.2">
      <c r="C919" s="112" t="s">
        <v>845</v>
      </c>
      <c r="D919" s="112"/>
      <c r="E919" s="112"/>
      <c r="F919" s="112"/>
      <c r="G919" s="112"/>
      <c r="H919" s="112"/>
      <c r="I919" s="113">
        <f>K919/E911</f>
        <v>2216.8066666666668</v>
      </c>
      <c r="J919" s="113"/>
      <c r="K919" s="113">
        <f>L912+L917+L918</f>
        <v>6650.42</v>
      </c>
      <c r="L919" s="113"/>
      <c r="AD919">
        <f>ROUND((Source!AT290/100)*((ROUND(SUMIF(SmtRes!AQ290:'SmtRes'!AQ291,"=1",SmtRes!AD290:'SmtRes'!AD291)*Source!I290, 2)+ROUND(SUMIF(SmtRes!AQ290:'SmtRes'!AQ291,"=1",SmtRes!AC290:'SmtRes'!AC291)*Source!I290, 2))), 2)</f>
        <v>2893.19</v>
      </c>
      <c r="AE919">
        <f>ROUND((Source!AU290/100)*((ROUND(SUMIF(SmtRes!AQ290:'SmtRes'!AQ291,"=1",SmtRes!AD290:'SmtRes'!AD291)*Source!I290, 2)+ROUND(SUMIF(SmtRes!AQ290:'SmtRes'!AQ291,"=1",SmtRes!AC290:'SmtRes'!AC291)*Source!I290, 2))), 2)</f>
        <v>1407.5</v>
      </c>
      <c r="AN919" s="50">
        <f>L912+L917+L918</f>
        <v>6650.42</v>
      </c>
      <c r="AO919">
        <f>0</f>
        <v>0</v>
      </c>
      <c r="AQ919" t="s">
        <v>846</v>
      </c>
      <c r="AR919" s="50">
        <f>L912</f>
        <v>3166.87</v>
      </c>
      <c r="AT919">
        <f>0</f>
        <v>0</v>
      </c>
      <c r="AV919" t="s">
        <v>846</v>
      </c>
      <c r="AW919">
        <f>0</f>
        <v>0</v>
      </c>
      <c r="AZ919">
        <f>Source!X290</f>
        <v>2343.48</v>
      </c>
      <c r="BA919">
        <f>Source!Y290</f>
        <v>1140.07</v>
      </c>
      <c r="BR919" s="50">
        <f>K919</f>
        <v>6650.42</v>
      </c>
      <c r="BU919">
        <f>ROUND(K919*80/100, 2)</f>
        <v>5320.34</v>
      </c>
      <c r="BV919" s="50">
        <f>K919-BU919</f>
        <v>1330.08</v>
      </c>
      <c r="CB919">
        <f>Source!BM290</f>
        <v>200001</v>
      </c>
      <c r="CC919" t="str">
        <f>Source!E290</f>
        <v>49</v>
      </c>
      <c r="CD919">
        <v>4</v>
      </c>
    </row>
    <row r="920" spans="1:82" ht="42.75" x14ac:dyDescent="0.2">
      <c r="A920" s="35" t="s">
        <v>356</v>
      </c>
      <c r="B920" s="37" t="s">
        <v>934</v>
      </c>
      <c r="C920" s="37" t="str">
        <f>Source!G291</f>
        <v>Трансформатор силовой трехфазный масляный двухобмоточный напряжением: до 11 кВ, мощностью до 1,6 МВА</v>
      </c>
      <c r="D920" s="38" t="str">
        <f>Source!H291</f>
        <v>ШТ</v>
      </c>
      <c r="E920" s="39">
        <f>Source!K291</f>
        <v>1</v>
      </c>
      <c r="F920" s="39"/>
      <c r="G920" s="39">
        <f>Source!I291</f>
        <v>1</v>
      </c>
      <c r="H920" s="41"/>
      <c r="I920" s="40"/>
      <c r="J920" s="41"/>
      <c r="K920" s="40"/>
      <c r="L920" s="41"/>
    </row>
    <row r="921" spans="1:82" ht="15" x14ac:dyDescent="0.2">
      <c r="A921" s="36"/>
      <c r="B921" s="39">
        <v>1</v>
      </c>
      <c r="C921" s="36" t="s">
        <v>835</v>
      </c>
      <c r="D921" s="38" t="s">
        <v>509</v>
      </c>
      <c r="E921" s="43"/>
      <c r="F921" s="39"/>
      <c r="G921" s="43">
        <f>Source!U291</f>
        <v>10.8</v>
      </c>
      <c r="H921" s="39"/>
      <c r="I921" s="39"/>
      <c r="J921" s="39"/>
      <c r="K921" s="39"/>
      <c r="L921" s="44">
        <f>SUM(L922:L923)-SUMIF(CE922:CE923, 1, L922:L923)</f>
        <v>7124.48</v>
      </c>
    </row>
    <row r="922" spans="1:82" ht="14.25" x14ac:dyDescent="0.2">
      <c r="A922" s="37"/>
      <c r="B922" s="37" t="s">
        <v>761</v>
      </c>
      <c r="C922" s="37" t="s">
        <v>762</v>
      </c>
      <c r="D922" s="38" t="s">
        <v>699</v>
      </c>
      <c r="E922" s="39">
        <v>4.32</v>
      </c>
      <c r="F922" s="39"/>
      <c r="G922" s="39">
        <f>SmtRes!CX292</f>
        <v>4.32</v>
      </c>
      <c r="H922" s="41"/>
      <c r="I922" s="40"/>
      <c r="J922" s="41">
        <f>SmtRes!CZ292</f>
        <v>468.58</v>
      </c>
      <c r="K922" s="40"/>
      <c r="L922" s="41">
        <f>SmtRes!DI292</f>
        <v>2024.27</v>
      </c>
    </row>
    <row r="923" spans="1:82" ht="14.25" x14ac:dyDescent="0.2">
      <c r="A923" s="37"/>
      <c r="B923" s="37" t="s">
        <v>763</v>
      </c>
      <c r="C923" s="45" t="s">
        <v>764</v>
      </c>
      <c r="D923" s="46" t="s">
        <v>699</v>
      </c>
      <c r="E923" s="47">
        <v>6.48</v>
      </c>
      <c r="F923" s="47"/>
      <c r="G923" s="47">
        <f>SmtRes!CX293</f>
        <v>6.48</v>
      </c>
      <c r="H923" s="48"/>
      <c r="I923" s="49"/>
      <c r="J923" s="48">
        <f>SmtRes!CZ293</f>
        <v>787.07</v>
      </c>
      <c r="K923" s="49"/>
      <c r="L923" s="48">
        <f>SmtRes!DI293</f>
        <v>5100.21</v>
      </c>
    </row>
    <row r="924" spans="1:82" ht="15" x14ac:dyDescent="0.2">
      <c r="A924" s="37"/>
      <c r="B924" s="37"/>
      <c r="C924" s="51" t="s">
        <v>841</v>
      </c>
      <c r="D924" s="38"/>
      <c r="E924" s="39"/>
      <c r="F924" s="39"/>
      <c r="G924" s="39"/>
      <c r="H924" s="41"/>
      <c r="I924" s="40"/>
      <c r="J924" s="41"/>
      <c r="K924" s="40"/>
      <c r="L924" s="41">
        <f>L921</f>
        <v>7124.48</v>
      </c>
    </row>
    <row r="925" spans="1:82" ht="14.25" x14ac:dyDescent="0.2">
      <c r="A925" s="37"/>
      <c r="B925" s="37"/>
      <c r="C925" s="37" t="s">
        <v>842</v>
      </c>
      <c r="D925" s="38"/>
      <c r="E925" s="39"/>
      <c r="F925" s="39"/>
      <c r="G925" s="39"/>
      <c r="H925" s="41"/>
      <c r="I925" s="40"/>
      <c r="J925" s="41"/>
      <c r="K925" s="40"/>
      <c r="L925" s="41">
        <f>SUM(AR920:AR928)+SUM(AS920:AS928)+SUM(AT920:AT928)+SUM(AU920:AU928)+SUM(AV920:AV928)</f>
        <v>7124.48</v>
      </c>
    </row>
    <row r="926" spans="1:82" ht="14.25" x14ac:dyDescent="0.2">
      <c r="A926" s="37"/>
      <c r="B926" s="37" t="s">
        <v>354</v>
      </c>
      <c r="C926" s="37" t="s">
        <v>932</v>
      </c>
      <c r="D926" s="38" t="s">
        <v>669</v>
      </c>
      <c r="E926" s="39">
        <f>Source!BZ291</f>
        <v>74</v>
      </c>
      <c r="F926" s="39"/>
      <c r="G926" s="39">
        <f>Source!AT291</f>
        <v>74</v>
      </c>
      <c r="H926" s="41"/>
      <c r="I926" s="40"/>
      <c r="J926" s="41"/>
      <c r="K926" s="40"/>
      <c r="L926" s="41">
        <f>SUM(AZ920:AZ928)</f>
        <v>5272.12</v>
      </c>
    </row>
    <row r="927" spans="1:82" ht="14.25" x14ac:dyDescent="0.2">
      <c r="A927" s="45"/>
      <c r="B927" s="45" t="s">
        <v>355</v>
      </c>
      <c r="C927" s="45" t="s">
        <v>933</v>
      </c>
      <c r="D927" s="46" t="s">
        <v>669</v>
      </c>
      <c r="E927" s="47">
        <f>Source!CA291</f>
        <v>36</v>
      </c>
      <c r="F927" s="47"/>
      <c r="G927" s="47">
        <f>Source!AU291</f>
        <v>36</v>
      </c>
      <c r="H927" s="48"/>
      <c r="I927" s="49"/>
      <c r="J927" s="48"/>
      <c r="K927" s="49"/>
      <c r="L927" s="48">
        <f>SUM(BA920:BA928)</f>
        <v>2564.81</v>
      </c>
    </row>
    <row r="928" spans="1:82" ht="15" x14ac:dyDescent="0.2">
      <c r="C928" s="112" t="s">
        <v>845</v>
      </c>
      <c r="D928" s="112"/>
      <c r="E928" s="112"/>
      <c r="F928" s="112"/>
      <c r="G928" s="112"/>
      <c r="H928" s="112"/>
      <c r="I928" s="113">
        <f>K928/E920</f>
        <v>14961.409999999998</v>
      </c>
      <c r="J928" s="113"/>
      <c r="K928" s="113">
        <f>L921+L926+L927</f>
        <v>14961.409999999998</v>
      </c>
      <c r="L928" s="113"/>
      <c r="AD928">
        <f>ROUND((Source!AT291/100)*((ROUND(SUMIF(SmtRes!AQ292:'SmtRes'!AQ293,"=1",SmtRes!AD292:'SmtRes'!AD293)*Source!I291, 2)+ROUND(SUMIF(SmtRes!AQ292:'SmtRes'!AQ293,"=1",SmtRes!AC292:'SmtRes'!AC293)*Source!I291, 2))), 2)</f>
        <v>929.18</v>
      </c>
      <c r="AE928">
        <f>ROUND((Source!AU291/100)*((ROUND(SUMIF(SmtRes!AQ292:'SmtRes'!AQ293,"=1",SmtRes!AD292:'SmtRes'!AD293)*Source!I291, 2)+ROUND(SUMIF(SmtRes!AQ292:'SmtRes'!AQ293,"=1",SmtRes!AC292:'SmtRes'!AC293)*Source!I291, 2))), 2)</f>
        <v>452.03</v>
      </c>
      <c r="AN928" s="50">
        <f>L921+L926+L927</f>
        <v>14961.409999999998</v>
      </c>
      <c r="AO928">
        <f>0</f>
        <v>0</v>
      </c>
      <c r="AQ928" t="s">
        <v>846</v>
      </c>
      <c r="AR928" s="50">
        <f>L921</f>
        <v>7124.48</v>
      </c>
      <c r="AT928">
        <f>0</f>
        <v>0</v>
      </c>
      <c r="AV928" t="s">
        <v>846</v>
      </c>
      <c r="AW928">
        <f>0</f>
        <v>0</v>
      </c>
      <c r="AZ928">
        <f>Source!X291</f>
        <v>5272.12</v>
      </c>
      <c r="BA928">
        <f>Source!Y291</f>
        <v>2564.81</v>
      </c>
      <c r="BR928" s="50">
        <f>K928</f>
        <v>14961.409999999998</v>
      </c>
      <c r="BU928">
        <f>ROUND(K928*80/100, 2)</f>
        <v>11969.13</v>
      </c>
      <c r="BV928" s="50">
        <f>K928-BU928</f>
        <v>2992.2799999999988</v>
      </c>
      <c r="CB928">
        <f>Source!BM291</f>
        <v>200001</v>
      </c>
      <c r="CC928" t="str">
        <f>Source!E291</f>
        <v>50</v>
      </c>
      <c r="CD928">
        <v>4</v>
      </c>
    </row>
    <row r="929" spans="1:82" ht="28.5" x14ac:dyDescent="0.2">
      <c r="A929" s="35" t="s">
        <v>360</v>
      </c>
      <c r="B929" s="37" t="s">
        <v>935</v>
      </c>
      <c r="C929" s="37" t="str">
        <f>Source!G292</f>
        <v>Измерение коэффициента: абсорбции обмоток трансформаторов и электрических машин</v>
      </c>
      <c r="D929" s="38" t="str">
        <f>Source!H292</f>
        <v>измерение</v>
      </c>
      <c r="E929" s="39">
        <f>Source!K292</f>
        <v>2</v>
      </c>
      <c r="F929" s="39"/>
      <c r="G929" s="39">
        <f>Source!I292</f>
        <v>2</v>
      </c>
      <c r="H929" s="41"/>
      <c r="I929" s="40"/>
      <c r="J929" s="41"/>
      <c r="K929" s="40"/>
      <c r="L929" s="41"/>
    </row>
    <row r="930" spans="1:82" ht="15" x14ac:dyDescent="0.2">
      <c r="A930" s="36"/>
      <c r="B930" s="39">
        <v>1</v>
      </c>
      <c r="C930" s="36" t="s">
        <v>835</v>
      </c>
      <c r="D930" s="38" t="s">
        <v>509</v>
      </c>
      <c r="E930" s="43"/>
      <c r="F930" s="39"/>
      <c r="G930" s="43">
        <f>Source!U292</f>
        <v>3.24</v>
      </c>
      <c r="H930" s="39"/>
      <c r="I930" s="39"/>
      <c r="J930" s="39"/>
      <c r="K930" s="39"/>
      <c r="L930" s="44">
        <f>SUM(L931:L932)-SUMIF(CE931:CE932, 1, L931:L932)</f>
        <v>2111.25</v>
      </c>
    </row>
    <row r="931" spans="1:82" ht="14.25" x14ac:dyDescent="0.2">
      <c r="A931" s="37"/>
      <c r="B931" s="37" t="s">
        <v>757</v>
      </c>
      <c r="C931" s="37" t="s">
        <v>758</v>
      </c>
      <c r="D931" s="38" t="s">
        <v>699</v>
      </c>
      <c r="E931" s="39">
        <v>0.81</v>
      </c>
      <c r="F931" s="39"/>
      <c r="G931" s="39">
        <f>SmtRes!CX294</f>
        <v>1.62</v>
      </c>
      <c r="H931" s="41"/>
      <c r="I931" s="40"/>
      <c r="J931" s="41">
        <f>SmtRes!CZ294</f>
        <v>658.94</v>
      </c>
      <c r="K931" s="40"/>
      <c r="L931" s="41">
        <f>SmtRes!DI294</f>
        <v>1067.48</v>
      </c>
    </row>
    <row r="932" spans="1:82" ht="14.25" x14ac:dyDescent="0.2">
      <c r="A932" s="37"/>
      <c r="B932" s="37" t="s">
        <v>759</v>
      </c>
      <c r="C932" s="45" t="s">
        <v>760</v>
      </c>
      <c r="D932" s="46" t="s">
        <v>699</v>
      </c>
      <c r="E932" s="47">
        <v>0.81</v>
      </c>
      <c r="F932" s="47"/>
      <c r="G932" s="47">
        <f>SmtRes!CX295</f>
        <v>1.62</v>
      </c>
      <c r="H932" s="48"/>
      <c r="I932" s="49"/>
      <c r="J932" s="48">
        <f>SmtRes!CZ295</f>
        <v>644.29999999999995</v>
      </c>
      <c r="K932" s="49"/>
      <c r="L932" s="48">
        <f>SmtRes!DI295</f>
        <v>1043.77</v>
      </c>
    </row>
    <row r="933" spans="1:82" ht="15" x14ac:dyDescent="0.2">
      <c r="A933" s="37"/>
      <c r="B933" s="37"/>
      <c r="C933" s="51" t="s">
        <v>841</v>
      </c>
      <c r="D933" s="38"/>
      <c r="E933" s="39"/>
      <c r="F933" s="39"/>
      <c r="G933" s="39"/>
      <c r="H933" s="41"/>
      <c r="I933" s="40"/>
      <c r="J933" s="41"/>
      <c r="K933" s="40"/>
      <c r="L933" s="41">
        <f>L930</f>
        <v>2111.25</v>
      </c>
    </row>
    <row r="934" spans="1:82" ht="14.25" x14ac:dyDescent="0.2">
      <c r="A934" s="37"/>
      <c r="B934" s="37"/>
      <c r="C934" s="37" t="s">
        <v>842</v>
      </c>
      <c r="D934" s="38"/>
      <c r="E934" s="39"/>
      <c r="F934" s="39"/>
      <c r="G934" s="39"/>
      <c r="H934" s="41"/>
      <c r="I934" s="40"/>
      <c r="J934" s="41"/>
      <c r="K934" s="40"/>
      <c r="L934" s="41">
        <f>SUM(AR929:AR937)+SUM(AS929:AS937)+SUM(AT929:AT937)+SUM(AU929:AU937)+SUM(AV929:AV937)</f>
        <v>2111.25</v>
      </c>
    </row>
    <row r="935" spans="1:82" ht="14.25" x14ac:dyDescent="0.2">
      <c r="A935" s="37"/>
      <c r="B935" s="37" t="s">
        <v>354</v>
      </c>
      <c r="C935" s="37" t="s">
        <v>932</v>
      </c>
      <c r="D935" s="38" t="s">
        <v>669</v>
      </c>
      <c r="E935" s="39">
        <f>Source!BZ292</f>
        <v>74</v>
      </c>
      <c r="F935" s="39"/>
      <c r="G935" s="39">
        <f>Source!AT292</f>
        <v>74</v>
      </c>
      <c r="H935" s="41"/>
      <c r="I935" s="40"/>
      <c r="J935" s="41"/>
      <c r="K935" s="40"/>
      <c r="L935" s="41">
        <f>SUM(AZ929:AZ937)</f>
        <v>1562.33</v>
      </c>
    </row>
    <row r="936" spans="1:82" ht="14.25" x14ac:dyDescent="0.2">
      <c r="A936" s="45"/>
      <c r="B936" s="45" t="s">
        <v>355</v>
      </c>
      <c r="C936" s="45" t="s">
        <v>933</v>
      </c>
      <c r="D936" s="46" t="s">
        <v>669</v>
      </c>
      <c r="E936" s="47">
        <f>Source!CA292</f>
        <v>36</v>
      </c>
      <c r="F936" s="47"/>
      <c r="G936" s="47">
        <f>Source!AU292</f>
        <v>36</v>
      </c>
      <c r="H936" s="48"/>
      <c r="I936" s="49"/>
      <c r="J936" s="48"/>
      <c r="K936" s="49"/>
      <c r="L936" s="48">
        <f>SUM(BA929:BA937)</f>
        <v>760.05</v>
      </c>
    </row>
    <row r="937" spans="1:82" ht="15" x14ac:dyDescent="0.2">
      <c r="C937" s="112" t="s">
        <v>845</v>
      </c>
      <c r="D937" s="112"/>
      <c r="E937" s="112"/>
      <c r="F937" s="112"/>
      <c r="G937" s="112"/>
      <c r="H937" s="112"/>
      <c r="I937" s="113">
        <f>K937/E929</f>
        <v>2216.8150000000001</v>
      </c>
      <c r="J937" s="113"/>
      <c r="K937" s="113">
        <f>L930+L935+L936</f>
        <v>4433.63</v>
      </c>
      <c r="L937" s="113"/>
      <c r="AD937">
        <f>ROUND((Source!AT292/100)*((ROUND(SUMIF(SmtRes!AQ294:'SmtRes'!AQ295,"=1",SmtRes!AD294:'SmtRes'!AD295)*Source!I292, 2)+ROUND(SUMIF(SmtRes!AQ294:'SmtRes'!AQ295,"=1",SmtRes!AC294:'SmtRes'!AC295)*Source!I292, 2))), 2)</f>
        <v>1928.8</v>
      </c>
      <c r="AE937">
        <f>ROUND((Source!AU292/100)*((ROUND(SUMIF(SmtRes!AQ294:'SmtRes'!AQ295,"=1",SmtRes!AD294:'SmtRes'!AD295)*Source!I292, 2)+ROUND(SUMIF(SmtRes!AQ294:'SmtRes'!AQ295,"=1",SmtRes!AC294:'SmtRes'!AC295)*Source!I292, 2))), 2)</f>
        <v>938.33</v>
      </c>
      <c r="AN937" s="50">
        <f>L930+L935+L936</f>
        <v>4433.63</v>
      </c>
      <c r="AO937">
        <f>0</f>
        <v>0</v>
      </c>
      <c r="AQ937" t="s">
        <v>846</v>
      </c>
      <c r="AR937" s="50">
        <f>L930</f>
        <v>2111.25</v>
      </c>
      <c r="AT937">
        <f>0</f>
        <v>0</v>
      </c>
      <c r="AV937" t="s">
        <v>846</v>
      </c>
      <c r="AW937">
        <f>0</f>
        <v>0</v>
      </c>
      <c r="AZ937">
        <f>Source!X292</f>
        <v>1562.33</v>
      </c>
      <c r="BA937">
        <f>Source!Y292</f>
        <v>760.05</v>
      </c>
      <c r="BR937" s="50">
        <f>K937</f>
        <v>4433.63</v>
      </c>
      <c r="BU937">
        <f>ROUND(K937*80/100, 2)</f>
        <v>3546.9</v>
      </c>
      <c r="BV937" s="50">
        <f>K937-BU937</f>
        <v>886.73</v>
      </c>
      <c r="CB937">
        <f>Source!BM292</f>
        <v>200001</v>
      </c>
      <c r="CC937" t="str">
        <f>Source!E292</f>
        <v>51</v>
      </c>
      <c r="CD937">
        <v>4</v>
      </c>
    </row>
    <row r="938" spans="1:82" ht="28.5" x14ac:dyDescent="0.2">
      <c r="A938" s="35" t="s">
        <v>365</v>
      </c>
      <c r="B938" s="37" t="s">
        <v>936</v>
      </c>
      <c r="C938" s="37" t="str">
        <f>Source!G293</f>
        <v>Испытание: обмотки трансформатора силового</v>
      </c>
      <c r="D938" s="38" t="str">
        <f>Source!H293</f>
        <v>испытание</v>
      </c>
      <c r="E938" s="39">
        <f>Source!K293</f>
        <v>2</v>
      </c>
      <c r="F938" s="39"/>
      <c r="G938" s="39">
        <f>Source!I293</f>
        <v>2</v>
      </c>
      <c r="H938" s="41"/>
      <c r="I938" s="40"/>
      <c r="J938" s="41"/>
      <c r="K938" s="40"/>
      <c r="L938" s="41"/>
    </row>
    <row r="939" spans="1:82" ht="15" x14ac:dyDescent="0.2">
      <c r="A939" s="36"/>
      <c r="B939" s="39">
        <v>1</v>
      </c>
      <c r="C939" s="36" t="s">
        <v>835</v>
      </c>
      <c r="D939" s="38" t="s">
        <v>509</v>
      </c>
      <c r="E939" s="43"/>
      <c r="F939" s="39"/>
      <c r="G939" s="43">
        <f>Source!U293</f>
        <v>4.8599999999999994</v>
      </c>
      <c r="H939" s="39"/>
      <c r="I939" s="39"/>
      <c r="J939" s="39"/>
      <c r="K939" s="39"/>
      <c r="L939" s="44">
        <f>SUM(L940:L941)-SUMIF(CE940:CE941, 1, L940:L941)</f>
        <v>3188.85</v>
      </c>
    </row>
    <row r="940" spans="1:82" ht="14.25" x14ac:dyDescent="0.2">
      <c r="A940" s="37"/>
      <c r="B940" s="37" t="s">
        <v>704</v>
      </c>
      <c r="C940" s="37" t="s">
        <v>705</v>
      </c>
      <c r="D940" s="38" t="s">
        <v>699</v>
      </c>
      <c r="E940" s="39">
        <v>0.97</v>
      </c>
      <c r="F940" s="39"/>
      <c r="G940" s="39">
        <f>SmtRes!CX296</f>
        <v>1.94</v>
      </c>
      <c r="H940" s="41"/>
      <c r="I940" s="40"/>
      <c r="J940" s="41">
        <f>SmtRes!CZ296</f>
        <v>563.76</v>
      </c>
      <c r="K940" s="40"/>
      <c r="L940" s="41">
        <f>SmtRes!DI296</f>
        <v>1093.69</v>
      </c>
    </row>
    <row r="941" spans="1:82" ht="14.25" x14ac:dyDescent="0.2">
      <c r="A941" s="37"/>
      <c r="B941" s="37" t="s">
        <v>765</v>
      </c>
      <c r="C941" s="45" t="s">
        <v>766</v>
      </c>
      <c r="D941" s="46" t="s">
        <v>699</v>
      </c>
      <c r="E941" s="47">
        <v>1.46</v>
      </c>
      <c r="F941" s="47"/>
      <c r="G941" s="47">
        <f>SmtRes!CX297</f>
        <v>2.92</v>
      </c>
      <c r="H941" s="48"/>
      <c r="I941" s="49"/>
      <c r="J941" s="48">
        <f>SmtRes!CZ297</f>
        <v>717.52</v>
      </c>
      <c r="K941" s="49"/>
      <c r="L941" s="48">
        <f>SmtRes!DI297</f>
        <v>2095.16</v>
      </c>
    </row>
    <row r="942" spans="1:82" ht="15" x14ac:dyDescent="0.2">
      <c r="A942" s="37"/>
      <c r="B942" s="37"/>
      <c r="C942" s="51" t="s">
        <v>841</v>
      </c>
      <c r="D942" s="38"/>
      <c r="E942" s="39"/>
      <c r="F942" s="39"/>
      <c r="G942" s="39"/>
      <c r="H942" s="41"/>
      <c r="I942" s="40"/>
      <c r="J942" s="41"/>
      <c r="K942" s="40"/>
      <c r="L942" s="41">
        <f>L939</f>
        <v>3188.85</v>
      </c>
    </row>
    <row r="943" spans="1:82" ht="14.25" x14ac:dyDescent="0.2">
      <c r="A943" s="37"/>
      <c r="B943" s="37"/>
      <c r="C943" s="37" t="s">
        <v>842</v>
      </c>
      <c r="D943" s="38"/>
      <c r="E943" s="39"/>
      <c r="F943" s="39"/>
      <c r="G943" s="39"/>
      <c r="H943" s="41"/>
      <c r="I943" s="40"/>
      <c r="J943" s="41"/>
      <c r="K943" s="40"/>
      <c r="L943" s="41">
        <f>SUM(AR938:AR946)+SUM(AS938:AS946)+SUM(AT938:AT946)+SUM(AU938:AU946)+SUM(AV938:AV946)</f>
        <v>3188.85</v>
      </c>
    </row>
    <row r="944" spans="1:82" ht="14.25" x14ac:dyDescent="0.2">
      <c r="A944" s="37"/>
      <c r="B944" s="37" t="s">
        <v>354</v>
      </c>
      <c r="C944" s="37" t="s">
        <v>932</v>
      </c>
      <c r="D944" s="38" t="s">
        <v>669</v>
      </c>
      <c r="E944" s="39">
        <f>Source!BZ293</f>
        <v>74</v>
      </c>
      <c r="F944" s="39"/>
      <c r="G944" s="39">
        <f>Source!AT293</f>
        <v>74</v>
      </c>
      <c r="H944" s="41"/>
      <c r="I944" s="40"/>
      <c r="J944" s="41"/>
      <c r="K944" s="40"/>
      <c r="L944" s="41">
        <f>SUM(AZ938:AZ946)</f>
        <v>2359.75</v>
      </c>
    </row>
    <row r="945" spans="1:82" ht="14.25" x14ac:dyDescent="0.2">
      <c r="A945" s="45"/>
      <c r="B945" s="45" t="s">
        <v>355</v>
      </c>
      <c r="C945" s="45" t="s">
        <v>933</v>
      </c>
      <c r="D945" s="46" t="s">
        <v>669</v>
      </c>
      <c r="E945" s="47">
        <f>Source!CA293</f>
        <v>36</v>
      </c>
      <c r="F945" s="47"/>
      <c r="G945" s="47">
        <f>Source!AU293</f>
        <v>36</v>
      </c>
      <c r="H945" s="48"/>
      <c r="I945" s="49"/>
      <c r="J945" s="48"/>
      <c r="K945" s="49"/>
      <c r="L945" s="48">
        <f>SUM(BA938:BA946)</f>
        <v>1147.99</v>
      </c>
    </row>
    <row r="946" spans="1:82" ht="15" x14ac:dyDescent="0.2">
      <c r="C946" s="112" t="s">
        <v>845</v>
      </c>
      <c r="D946" s="112"/>
      <c r="E946" s="112"/>
      <c r="F946" s="112"/>
      <c r="G946" s="112"/>
      <c r="H946" s="112"/>
      <c r="I946" s="113">
        <f>K946/E938</f>
        <v>3348.2950000000001</v>
      </c>
      <c r="J946" s="113"/>
      <c r="K946" s="113">
        <f>L939+L944+L945</f>
        <v>6696.59</v>
      </c>
      <c r="L946" s="113"/>
      <c r="AD946">
        <f>ROUND((Source!AT293/100)*((ROUND(SUMIF(SmtRes!AQ296:'SmtRes'!AQ297,"=1",SmtRes!AD296:'SmtRes'!AD297)*Source!I293, 2)+ROUND(SUMIF(SmtRes!AQ296:'SmtRes'!AQ297,"=1",SmtRes!AC296:'SmtRes'!AC297)*Source!I293, 2))), 2)</f>
        <v>1896.29</v>
      </c>
      <c r="AE946">
        <f>ROUND((Source!AU293/100)*((ROUND(SUMIF(SmtRes!AQ296:'SmtRes'!AQ297,"=1",SmtRes!AD296:'SmtRes'!AD297)*Source!I293, 2)+ROUND(SUMIF(SmtRes!AQ296:'SmtRes'!AQ297,"=1",SmtRes!AC296:'SmtRes'!AC297)*Source!I293, 2))), 2)</f>
        <v>922.52</v>
      </c>
      <c r="AN946" s="50">
        <f>L939+L944+L945</f>
        <v>6696.59</v>
      </c>
      <c r="AO946">
        <f>0</f>
        <v>0</v>
      </c>
      <c r="AQ946" t="s">
        <v>846</v>
      </c>
      <c r="AR946" s="50">
        <f>L939</f>
        <v>3188.85</v>
      </c>
      <c r="AT946">
        <f>0</f>
        <v>0</v>
      </c>
      <c r="AV946" t="s">
        <v>846</v>
      </c>
      <c r="AW946">
        <f>0</f>
        <v>0</v>
      </c>
      <c r="AZ946">
        <f>Source!X293</f>
        <v>2359.75</v>
      </c>
      <c r="BA946">
        <f>Source!Y293</f>
        <v>1147.99</v>
      </c>
      <c r="BR946" s="50">
        <f>K946</f>
        <v>6696.59</v>
      </c>
      <c r="BU946">
        <f>ROUND(K946*80/100, 2)</f>
        <v>5357.27</v>
      </c>
      <c r="BV946" s="50">
        <f>K946-BU946</f>
        <v>1339.3199999999997</v>
      </c>
      <c r="CB946">
        <f>Source!BM293</f>
        <v>200001</v>
      </c>
      <c r="CC946" t="str">
        <f>Source!E293</f>
        <v>52</v>
      </c>
      <c r="CD946">
        <v>4</v>
      </c>
    </row>
    <row r="947" spans="1:82" ht="28.5" x14ac:dyDescent="0.2">
      <c r="A947" s="35" t="s">
        <v>370</v>
      </c>
      <c r="B947" s="37" t="s">
        <v>937</v>
      </c>
      <c r="C947" s="37" t="str">
        <f>Source!G294</f>
        <v>Выключатель: нагрузки напряжением до 11 кВ</v>
      </c>
      <c r="D947" s="38" t="str">
        <f>Source!H294</f>
        <v>ШТ</v>
      </c>
      <c r="E947" s="39">
        <f>Source!K294</f>
        <v>3</v>
      </c>
      <c r="F947" s="39"/>
      <c r="G947" s="39">
        <f>Source!I294</f>
        <v>3</v>
      </c>
      <c r="H947" s="41"/>
      <c r="I947" s="40"/>
      <c r="J947" s="41"/>
      <c r="K947" s="40"/>
      <c r="L947" s="41"/>
    </row>
    <row r="948" spans="1:82" ht="15" x14ac:dyDescent="0.2">
      <c r="A948" s="36"/>
      <c r="B948" s="39">
        <v>1</v>
      </c>
      <c r="C948" s="36" t="s">
        <v>835</v>
      </c>
      <c r="D948" s="38" t="s">
        <v>509</v>
      </c>
      <c r="E948" s="43"/>
      <c r="F948" s="39"/>
      <c r="G948" s="43">
        <f>Source!U294</f>
        <v>24.3</v>
      </c>
      <c r="H948" s="39"/>
      <c r="I948" s="39"/>
      <c r="J948" s="39"/>
      <c r="K948" s="39"/>
      <c r="L948" s="44">
        <f>SUM(L949:L951)-SUMIF(CE949:CE951, 1, L949:L951)</f>
        <v>15122.810000000001</v>
      </c>
    </row>
    <row r="949" spans="1:82" ht="14.25" x14ac:dyDescent="0.2">
      <c r="A949" s="37"/>
      <c r="B949" s="37" t="s">
        <v>702</v>
      </c>
      <c r="C949" s="37" t="s">
        <v>703</v>
      </c>
      <c r="D949" s="38" t="s">
        <v>699</v>
      </c>
      <c r="E949" s="39">
        <v>1.62</v>
      </c>
      <c r="F949" s="39"/>
      <c r="G949" s="39">
        <f>SmtRes!CX298</f>
        <v>4.8600000000000003</v>
      </c>
      <c r="H949" s="41"/>
      <c r="I949" s="40"/>
      <c r="J949" s="41">
        <f>SmtRes!CZ298</f>
        <v>490.55</v>
      </c>
      <c r="K949" s="40"/>
      <c r="L949" s="41">
        <f>SmtRes!DI298</f>
        <v>2384.0700000000002</v>
      </c>
    </row>
    <row r="950" spans="1:82" ht="14.25" x14ac:dyDescent="0.2">
      <c r="A950" s="37"/>
      <c r="B950" s="37" t="s">
        <v>761</v>
      </c>
      <c r="C950" s="37" t="s">
        <v>762</v>
      </c>
      <c r="D950" s="38" t="s">
        <v>699</v>
      </c>
      <c r="E950" s="39">
        <v>1.62</v>
      </c>
      <c r="F950" s="39"/>
      <c r="G950" s="39">
        <f>SmtRes!CX299</f>
        <v>4.8600000000000003</v>
      </c>
      <c r="H950" s="41"/>
      <c r="I950" s="40"/>
      <c r="J950" s="41">
        <f>SmtRes!CZ299</f>
        <v>468.58</v>
      </c>
      <c r="K950" s="40"/>
      <c r="L950" s="41">
        <f>SmtRes!DI299</f>
        <v>2277.3000000000002</v>
      </c>
    </row>
    <row r="951" spans="1:82" ht="14.25" x14ac:dyDescent="0.2">
      <c r="A951" s="37"/>
      <c r="B951" s="37" t="s">
        <v>765</v>
      </c>
      <c r="C951" s="45" t="s">
        <v>766</v>
      </c>
      <c r="D951" s="46" t="s">
        <v>699</v>
      </c>
      <c r="E951" s="47">
        <v>4.8600000000000003</v>
      </c>
      <c r="F951" s="47"/>
      <c r="G951" s="47">
        <f>SmtRes!CX300</f>
        <v>14.58</v>
      </c>
      <c r="H951" s="48"/>
      <c r="I951" s="49"/>
      <c r="J951" s="48">
        <f>SmtRes!CZ300</f>
        <v>717.52</v>
      </c>
      <c r="K951" s="49"/>
      <c r="L951" s="48">
        <f>SmtRes!DI300</f>
        <v>10461.44</v>
      </c>
    </row>
    <row r="952" spans="1:82" ht="15" x14ac:dyDescent="0.2">
      <c r="A952" s="37"/>
      <c r="B952" s="37"/>
      <c r="C952" s="51" t="s">
        <v>841</v>
      </c>
      <c r="D952" s="38"/>
      <c r="E952" s="39"/>
      <c r="F952" s="39"/>
      <c r="G952" s="39"/>
      <c r="H952" s="41"/>
      <c r="I952" s="40"/>
      <c r="J952" s="41"/>
      <c r="K952" s="40"/>
      <c r="L952" s="41">
        <f>L948</f>
        <v>15122.810000000001</v>
      </c>
    </row>
    <row r="953" spans="1:82" ht="14.25" x14ac:dyDescent="0.2">
      <c r="A953" s="37"/>
      <c r="B953" s="37"/>
      <c r="C953" s="37" t="s">
        <v>842</v>
      </c>
      <c r="D953" s="38"/>
      <c r="E953" s="39"/>
      <c r="F953" s="39"/>
      <c r="G953" s="39"/>
      <c r="H953" s="41"/>
      <c r="I953" s="40"/>
      <c r="J953" s="41"/>
      <c r="K953" s="40"/>
      <c r="L953" s="41">
        <f>SUM(AR947:AR956)+SUM(AS947:AS956)+SUM(AT947:AT956)+SUM(AU947:AU956)+SUM(AV947:AV956)</f>
        <v>15122.810000000001</v>
      </c>
    </row>
    <row r="954" spans="1:82" ht="14.25" x14ac:dyDescent="0.2">
      <c r="A954" s="37"/>
      <c r="B954" s="37" t="s">
        <v>354</v>
      </c>
      <c r="C954" s="37" t="s">
        <v>932</v>
      </c>
      <c r="D954" s="38" t="s">
        <v>669</v>
      </c>
      <c r="E954" s="39">
        <f>Source!BZ294</f>
        <v>74</v>
      </c>
      <c r="F954" s="39"/>
      <c r="G954" s="39">
        <f>Source!AT294</f>
        <v>74</v>
      </c>
      <c r="H954" s="41"/>
      <c r="I954" s="40"/>
      <c r="J954" s="41"/>
      <c r="K954" s="40"/>
      <c r="L954" s="41">
        <f>SUM(AZ947:AZ956)</f>
        <v>11190.88</v>
      </c>
    </row>
    <row r="955" spans="1:82" ht="14.25" x14ac:dyDescent="0.2">
      <c r="A955" s="45"/>
      <c r="B955" s="45" t="s">
        <v>355</v>
      </c>
      <c r="C955" s="45" t="s">
        <v>933</v>
      </c>
      <c r="D955" s="46" t="s">
        <v>669</v>
      </c>
      <c r="E955" s="47">
        <f>Source!CA294</f>
        <v>36</v>
      </c>
      <c r="F955" s="47"/>
      <c r="G955" s="47">
        <f>Source!AU294</f>
        <v>36</v>
      </c>
      <c r="H955" s="48"/>
      <c r="I955" s="49"/>
      <c r="J955" s="48"/>
      <c r="K955" s="49"/>
      <c r="L955" s="48">
        <f>SUM(BA947:BA956)</f>
        <v>5444.21</v>
      </c>
    </row>
    <row r="956" spans="1:82" ht="15" x14ac:dyDescent="0.2">
      <c r="C956" s="112" t="s">
        <v>845</v>
      </c>
      <c r="D956" s="112"/>
      <c r="E956" s="112"/>
      <c r="F956" s="112"/>
      <c r="G956" s="112"/>
      <c r="H956" s="112"/>
      <c r="I956" s="113">
        <f>K956/E947</f>
        <v>10585.966666666667</v>
      </c>
      <c r="J956" s="113"/>
      <c r="K956" s="113">
        <f>L948+L954+L955</f>
        <v>31757.9</v>
      </c>
      <c r="L956" s="113"/>
      <c r="AD956">
        <f>ROUND((Source!AT294/100)*((ROUND(SUMIF(SmtRes!AQ298:'SmtRes'!AQ300,"=1",SmtRes!AD298:'SmtRes'!AD300)*Source!I294, 2)+ROUND(SUMIF(SmtRes!AQ298:'SmtRes'!AQ300,"=1",SmtRes!AC298:'SmtRes'!AC300)*Source!I294, 2))), 2)</f>
        <v>3722.16</v>
      </c>
      <c r="AE956">
        <f>ROUND((Source!AU294/100)*((ROUND(SUMIF(SmtRes!AQ298:'SmtRes'!AQ300,"=1",SmtRes!AD298:'SmtRes'!AD300)*Source!I294, 2)+ROUND(SUMIF(SmtRes!AQ298:'SmtRes'!AQ300,"=1",SmtRes!AC298:'SmtRes'!AC300)*Source!I294, 2))), 2)</f>
        <v>1810.78</v>
      </c>
      <c r="AN956" s="50">
        <f>L948+L954+L955</f>
        <v>31757.9</v>
      </c>
      <c r="AO956">
        <f>0</f>
        <v>0</v>
      </c>
      <c r="AQ956" t="s">
        <v>846</v>
      </c>
      <c r="AR956" s="50">
        <f>L948</f>
        <v>15122.810000000001</v>
      </c>
      <c r="AT956">
        <f>0</f>
        <v>0</v>
      </c>
      <c r="AV956" t="s">
        <v>846</v>
      </c>
      <c r="AW956">
        <f>0</f>
        <v>0</v>
      </c>
      <c r="AZ956">
        <f>Source!X294</f>
        <v>11190.88</v>
      </c>
      <c r="BA956">
        <f>Source!Y294</f>
        <v>5444.21</v>
      </c>
      <c r="BR956" s="50">
        <f>K956</f>
        <v>31757.9</v>
      </c>
      <c r="BU956">
        <f>ROUND(K956*80/100, 2)</f>
        <v>25406.32</v>
      </c>
      <c r="BV956" s="50">
        <f>K956-BU956</f>
        <v>6351.5800000000017</v>
      </c>
      <c r="CB956">
        <f>Source!BM294</f>
        <v>200001</v>
      </c>
      <c r="CC956" t="str">
        <f>Source!E294</f>
        <v>53</v>
      </c>
      <c r="CD956">
        <v>4</v>
      </c>
    </row>
    <row r="957" spans="1:82" ht="28.5" x14ac:dyDescent="0.2">
      <c r="A957" s="35" t="s">
        <v>374</v>
      </c>
      <c r="B957" s="37" t="s">
        <v>938</v>
      </c>
      <c r="C957" s="37" t="str">
        <f>Source!G295</f>
        <v>Разъединитель трехполюсный напряжением: до 20 кВ</v>
      </c>
      <c r="D957" s="38" t="str">
        <f>Source!H295</f>
        <v>ШТ</v>
      </c>
      <c r="E957" s="39">
        <f>Source!K295</f>
        <v>4</v>
      </c>
      <c r="F957" s="39"/>
      <c r="G957" s="39">
        <f>Source!I295</f>
        <v>4</v>
      </c>
      <c r="H957" s="41"/>
      <c r="I957" s="40"/>
      <c r="J957" s="41"/>
      <c r="K957" s="40"/>
      <c r="L957" s="41"/>
    </row>
    <row r="958" spans="1:82" ht="15" x14ac:dyDescent="0.2">
      <c r="A958" s="36"/>
      <c r="B958" s="39">
        <v>1</v>
      </c>
      <c r="C958" s="36" t="s">
        <v>835</v>
      </c>
      <c r="D958" s="38" t="s">
        <v>509</v>
      </c>
      <c r="E958" s="43"/>
      <c r="F958" s="39"/>
      <c r="G958" s="43">
        <f>Source!U295</f>
        <v>21.6</v>
      </c>
      <c r="H958" s="39"/>
      <c r="I958" s="39"/>
      <c r="J958" s="39"/>
      <c r="K958" s="39"/>
      <c r="L958" s="44">
        <f>SUM(L959:L961)-SUMIF(CE959:CE961, 1, L959:L961)</f>
        <v>13442.509999999998</v>
      </c>
    </row>
    <row r="959" spans="1:82" ht="14.25" x14ac:dyDescent="0.2">
      <c r="A959" s="37"/>
      <c r="B959" s="37" t="s">
        <v>702</v>
      </c>
      <c r="C959" s="37" t="s">
        <v>703</v>
      </c>
      <c r="D959" s="38" t="s">
        <v>699</v>
      </c>
      <c r="E959" s="39">
        <v>1.08</v>
      </c>
      <c r="F959" s="39"/>
      <c r="G959" s="39">
        <f>SmtRes!CX301</f>
        <v>4.32</v>
      </c>
      <c r="H959" s="41"/>
      <c r="I959" s="40"/>
      <c r="J959" s="41">
        <f>SmtRes!CZ301</f>
        <v>490.55</v>
      </c>
      <c r="K959" s="40"/>
      <c r="L959" s="41">
        <f>SmtRes!DI301</f>
        <v>2119.1799999999998</v>
      </c>
    </row>
    <row r="960" spans="1:82" ht="14.25" x14ac:dyDescent="0.2">
      <c r="A960" s="37"/>
      <c r="B960" s="37" t="s">
        <v>761</v>
      </c>
      <c r="C960" s="37" t="s">
        <v>762</v>
      </c>
      <c r="D960" s="38" t="s">
        <v>699</v>
      </c>
      <c r="E960" s="39">
        <v>1.08</v>
      </c>
      <c r="F960" s="39"/>
      <c r="G960" s="39">
        <f>SmtRes!CX302</f>
        <v>4.32</v>
      </c>
      <c r="H960" s="41"/>
      <c r="I960" s="40"/>
      <c r="J960" s="41">
        <f>SmtRes!CZ302</f>
        <v>468.58</v>
      </c>
      <c r="K960" s="40"/>
      <c r="L960" s="41">
        <f>SmtRes!DI302</f>
        <v>2024.27</v>
      </c>
    </row>
    <row r="961" spans="1:82" ht="14.25" x14ac:dyDescent="0.2">
      <c r="A961" s="37"/>
      <c r="B961" s="37" t="s">
        <v>765</v>
      </c>
      <c r="C961" s="45" t="s">
        <v>766</v>
      </c>
      <c r="D961" s="46" t="s">
        <v>699</v>
      </c>
      <c r="E961" s="47">
        <v>3.24</v>
      </c>
      <c r="F961" s="47"/>
      <c r="G961" s="47">
        <f>SmtRes!CX303</f>
        <v>12.96</v>
      </c>
      <c r="H961" s="48"/>
      <c r="I961" s="49"/>
      <c r="J961" s="48">
        <f>SmtRes!CZ303</f>
        <v>717.52</v>
      </c>
      <c r="K961" s="49"/>
      <c r="L961" s="48">
        <f>SmtRes!DI303</f>
        <v>9299.06</v>
      </c>
    </row>
    <row r="962" spans="1:82" ht="15" x14ac:dyDescent="0.2">
      <c r="A962" s="37"/>
      <c r="B962" s="37"/>
      <c r="C962" s="51" t="s">
        <v>841</v>
      </c>
      <c r="D962" s="38"/>
      <c r="E962" s="39"/>
      <c r="F962" s="39"/>
      <c r="G962" s="39"/>
      <c r="H962" s="41"/>
      <c r="I962" s="40"/>
      <c r="J962" s="41"/>
      <c r="K962" s="40"/>
      <c r="L962" s="41">
        <f>L958</f>
        <v>13442.509999999998</v>
      </c>
    </row>
    <row r="963" spans="1:82" ht="14.25" x14ac:dyDescent="0.2">
      <c r="A963" s="37"/>
      <c r="B963" s="37"/>
      <c r="C963" s="37" t="s">
        <v>842</v>
      </c>
      <c r="D963" s="38"/>
      <c r="E963" s="39"/>
      <c r="F963" s="39"/>
      <c r="G963" s="39"/>
      <c r="H963" s="41"/>
      <c r="I963" s="40"/>
      <c r="J963" s="41"/>
      <c r="K963" s="40"/>
      <c r="L963" s="41">
        <f>SUM(AR957:AR966)+SUM(AS957:AS966)+SUM(AT957:AT966)+SUM(AU957:AU966)+SUM(AV957:AV966)</f>
        <v>13442.509999999998</v>
      </c>
    </row>
    <row r="964" spans="1:82" ht="14.25" x14ac:dyDescent="0.2">
      <c r="A964" s="37"/>
      <c r="B964" s="37" t="s">
        <v>354</v>
      </c>
      <c r="C964" s="37" t="s">
        <v>932</v>
      </c>
      <c r="D964" s="38" t="s">
        <v>669</v>
      </c>
      <c r="E964" s="39">
        <f>Source!BZ295</f>
        <v>74</v>
      </c>
      <c r="F964" s="39"/>
      <c r="G964" s="39">
        <f>Source!AT295</f>
        <v>74</v>
      </c>
      <c r="H964" s="41"/>
      <c r="I964" s="40"/>
      <c r="J964" s="41"/>
      <c r="K964" s="40"/>
      <c r="L964" s="41">
        <f>SUM(AZ957:AZ966)</f>
        <v>9947.4599999999991</v>
      </c>
    </row>
    <row r="965" spans="1:82" ht="14.25" x14ac:dyDescent="0.2">
      <c r="A965" s="45"/>
      <c r="B965" s="45" t="s">
        <v>355</v>
      </c>
      <c r="C965" s="45" t="s">
        <v>933</v>
      </c>
      <c r="D965" s="46" t="s">
        <v>669</v>
      </c>
      <c r="E965" s="47">
        <f>Source!CA295</f>
        <v>36</v>
      </c>
      <c r="F965" s="47"/>
      <c r="G965" s="47">
        <f>Source!AU295</f>
        <v>36</v>
      </c>
      <c r="H965" s="48"/>
      <c r="I965" s="49"/>
      <c r="J965" s="48"/>
      <c r="K965" s="49"/>
      <c r="L965" s="48">
        <f>SUM(BA957:BA966)</f>
        <v>4839.3</v>
      </c>
    </row>
    <row r="966" spans="1:82" ht="15" x14ac:dyDescent="0.2">
      <c r="C966" s="112" t="s">
        <v>845</v>
      </c>
      <c r="D966" s="112"/>
      <c r="E966" s="112"/>
      <c r="F966" s="112"/>
      <c r="G966" s="112"/>
      <c r="H966" s="112"/>
      <c r="I966" s="113">
        <f>K966/E957</f>
        <v>7057.3174999999992</v>
      </c>
      <c r="J966" s="113"/>
      <c r="K966" s="113">
        <f>L958+L964+L965</f>
        <v>28229.269999999997</v>
      </c>
      <c r="L966" s="113"/>
      <c r="AD966">
        <f>ROUND((Source!AT295/100)*((ROUND(SUMIF(SmtRes!AQ301:'SmtRes'!AQ303,"=1",SmtRes!AD301:'SmtRes'!AD303)*Source!I295, 2)+ROUND(SUMIF(SmtRes!AQ301:'SmtRes'!AQ303,"=1",SmtRes!AC301:'SmtRes'!AC303)*Source!I295, 2))), 2)</f>
        <v>4962.88</v>
      </c>
      <c r="AE966">
        <f>ROUND((Source!AU295/100)*((ROUND(SUMIF(SmtRes!AQ301:'SmtRes'!AQ303,"=1",SmtRes!AD301:'SmtRes'!AD303)*Source!I295, 2)+ROUND(SUMIF(SmtRes!AQ301:'SmtRes'!AQ303,"=1",SmtRes!AC301:'SmtRes'!AC303)*Source!I295, 2))), 2)</f>
        <v>2414.38</v>
      </c>
      <c r="AN966" s="50">
        <f>L958+L964+L965</f>
        <v>28229.269999999997</v>
      </c>
      <c r="AO966">
        <f>0</f>
        <v>0</v>
      </c>
      <c r="AQ966" t="s">
        <v>846</v>
      </c>
      <c r="AR966" s="50">
        <f>L958</f>
        <v>13442.509999999998</v>
      </c>
      <c r="AT966">
        <f>0</f>
        <v>0</v>
      </c>
      <c r="AV966" t="s">
        <v>846</v>
      </c>
      <c r="AW966">
        <f>0</f>
        <v>0</v>
      </c>
      <c r="AZ966">
        <f>Source!X295</f>
        <v>9947.4599999999991</v>
      </c>
      <c r="BA966">
        <f>Source!Y295</f>
        <v>4839.3</v>
      </c>
      <c r="BR966" s="50">
        <f>K966</f>
        <v>28229.269999999997</v>
      </c>
      <c r="BU966">
        <f>ROUND(K966*80/100, 2)</f>
        <v>22583.42</v>
      </c>
      <c r="BV966" s="50">
        <f>K966-BU966</f>
        <v>5645.8499999999985</v>
      </c>
      <c r="CB966">
        <f>Source!BM295</f>
        <v>200001</v>
      </c>
      <c r="CC966" t="str">
        <f>Source!E295</f>
        <v>54</v>
      </c>
      <c r="CD966">
        <v>4</v>
      </c>
    </row>
    <row r="967" spans="1:82" ht="28.5" x14ac:dyDescent="0.2">
      <c r="A967" s="35" t="s">
        <v>378</v>
      </c>
      <c r="B967" s="37" t="s">
        <v>939</v>
      </c>
      <c r="C967" s="37" t="str">
        <f>Source!G296</f>
        <v>Испытание трех элементов изолятора опорного многоэлементного или подвесного</v>
      </c>
      <c r="D967" s="38" t="str">
        <f>Source!H296</f>
        <v>испытание</v>
      </c>
      <c r="E967" s="39">
        <f>Source!K296</f>
        <v>3</v>
      </c>
      <c r="F967" s="39"/>
      <c r="G967" s="39">
        <f>Source!I296</f>
        <v>3</v>
      </c>
      <c r="H967" s="41"/>
      <c r="I967" s="40"/>
      <c r="J967" s="41"/>
      <c r="K967" s="40"/>
      <c r="L967" s="41"/>
    </row>
    <row r="968" spans="1:82" ht="15" x14ac:dyDescent="0.2">
      <c r="A968" s="36"/>
      <c r="B968" s="39">
        <v>1</v>
      </c>
      <c r="C968" s="36" t="s">
        <v>835</v>
      </c>
      <c r="D968" s="38" t="s">
        <v>509</v>
      </c>
      <c r="E968" s="43"/>
      <c r="F968" s="39"/>
      <c r="G968" s="43">
        <f>Source!U296</f>
        <v>8.1000000000000014</v>
      </c>
      <c r="H968" s="39"/>
      <c r="I968" s="39"/>
      <c r="J968" s="39"/>
      <c r="K968" s="39"/>
      <c r="L968" s="44">
        <f>SUM(L969:L970)-SUMIF(CE969:CE970, 1, L969:L970)</f>
        <v>5076.5300000000007</v>
      </c>
    </row>
    <row r="969" spans="1:82" ht="14.25" x14ac:dyDescent="0.2">
      <c r="A969" s="37"/>
      <c r="B969" s="37" t="s">
        <v>702</v>
      </c>
      <c r="C969" s="37" t="s">
        <v>703</v>
      </c>
      <c r="D969" s="38" t="s">
        <v>699</v>
      </c>
      <c r="E969" s="39">
        <v>1.08</v>
      </c>
      <c r="F969" s="39"/>
      <c r="G969" s="39">
        <f>SmtRes!CX304</f>
        <v>3.24</v>
      </c>
      <c r="H969" s="41"/>
      <c r="I969" s="40"/>
      <c r="J969" s="41">
        <f>SmtRes!CZ304</f>
        <v>490.55</v>
      </c>
      <c r="K969" s="40"/>
      <c r="L969" s="41">
        <f>SmtRes!DI304</f>
        <v>1589.38</v>
      </c>
    </row>
    <row r="970" spans="1:82" ht="14.25" x14ac:dyDescent="0.2">
      <c r="A970" s="37"/>
      <c r="B970" s="37" t="s">
        <v>765</v>
      </c>
      <c r="C970" s="45" t="s">
        <v>766</v>
      </c>
      <c r="D970" s="46" t="s">
        <v>699</v>
      </c>
      <c r="E970" s="47">
        <v>1.62</v>
      </c>
      <c r="F970" s="47"/>
      <c r="G970" s="47">
        <f>SmtRes!CX305</f>
        <v>4.8600000000000003</v>
      </c>
      <c r="H970" s="48"/>
      <c r="I970" s="49"/>
      <c r="J970" s="48">
        <f>SmtRes!CZ305</f>
        <v>717.52</v>
      </c>
      <c r="K970" s="49"/>
      <c r="L970" s="48">
        <f>SmtRes!DI305</f>
        <v>3487.15</v>
      </c>
    </row>
    <row r="971" spans="1:82" ht="15" x14ac:dyDescent="0.2">
      <c r="A971" s="37"/>
      <c r="B971" s="37"/>
      <c r="C971" s="51" t="s">
        <v>841</v>
      </c>
      <c r="D971" s="38"/>
      <c r="E971" s="39"/>
      <c r="F971" s="39"/>
      <c r="G971" s="39"/>
      <c r="H971" s="41"/>
      <c r="I971" s="40"/>
      <c r="J971" s="41"/>
      <c r="K971" s="40"/>
      <c r="L971" s="41">
        <f>L968</f>
        <v>5076.5300000000007</v>
      </c>
    </row>
    <row r="972" spans="1:82" ht="14.25" x14ac:dyDescent="0.2">
      <c r="A972" s="37"/>
      <c r="B972" s="37"/>
      <c r="C972" s="37" t="s">
        <v>842</v>
      </c>
      <c r="D972" s="38"/>
      <c r="E972" s="39"/>
      <c r="F972" s="39"/>
      <c r="G972" s="39"/>
      <c r="H972" s="41"/>
      <c r="I972" s="40"/>
      <c r="J972" s="41"/>
      <c r="K972" s="40"/>
      <c r="L972" s="41">
        <f>SUM(AR967:AR975)+SUM(AS967:AS975)+SUM(AT967:AT975)+SUM(AU967:AU975)+SUM(AV967:AV975)</f>
        <v>5076.5300000000007</v>
      </c>
    </row>
    <row r="973" spans="1:82" ht="14.25" x14ac:dyDescent="0.2">
      <c r="A973" s="37"/>
      <c r="B973" s="37" t="s">
        <v>354</v>
      </c>
      <c r="C973" s="37" t="s">
        <v>932</v>
      </c>
      <c r="D973" s="38" t="s">
        <v>669</v>
      </c>
      <c r="E973" s="39">
        <f>Source!BZ296</f>
        <v>74</v>
      </c>
      <c r="F973" s="39"/>
      <c r="G973" s="39">
        <f>Source!AT296</f>
        <v>74</v>
      </c>
      <c r="H973" s="41"/>
      <c r="I973" s="40"/>
      <c r="J973" s="41"/>
      <c r="K973" s="40"/>
      <c r="L973" s="41">
        <f>SUM(AZ967:AZ975)</f>
        <v>3756.63</v>
      </c>
    </row>
    <row r="974" spans="1:82" ht="14.25" x14ac:dyDescent="0.2">
      <c r="A974" s="45"/>
      <c r="B974" s="45" t="s">
        <v>355</v>
      </c>
      <c r="C974" s="45" t="s">
        <v>933</v>
      </c>
      <c r="D974" s="46" t="s">
        <v>669</v>
      </c>
      <c r="E974" s="47">
        <f>Source!CA296</f>
        <v>36</v>
      </c>
      <c r="F974" s="47"/>
      <c r="G974" s="47">
        <f>Source!AU296</f>
        <v>36</v>
      </c>
      <c r="H974" s="48"/>
      <c r="I974" s="49"/>
      <c r="J974" s="48"/>
      <c r="K974" s="49"/>
      <c r="L974" s="48">
        <f>SUM(BA967:BA975)</f>
        <v>1827.55</v>
      </c>
    </row>
    <row r="975" spans="1:82" ht="15" x14ac:dyDescent="0.2">
      <c r="C975" s="112" t="s">
        <v>845</v>
      </c>
      <c r="D975" s="112"/>
      <c r="E975" s="112"/>
      <c r="F975" s="112"/>
      <c r="G975" s="112"/>
      <c r="H975" s="112"/>
      <c r="I975" s="113">
        <f>K975/E967</f>
        <v>3553.5699999999997</v>
      </c>
      <c r="J975" s="113"/>
      <c r="K975" s="113">
        <f>L968+L973+L974</f>
        <v>10660.71</v>
      </c>
      <c r="L975" s="113"/>
      <c r="AD975">
        <f>ROUND((Source!AT296/100)*((ROUND(SUMIF(SmtRes!AQ304:'SmtRes'!AQ305,"=1",SmtRes!AD304:'SmtRes'!AD305)*Source!I296, 2)+ROUND(SUMIF(SmtRes!AQ304:'SmtRes'!AQ305,"=1",SmtRes!AC304:'SmtRes'!AC305)*Source!I296, 2))), 2)</f>
        <v>2681.92</v>
      </c>
      <c r="AE975">
        <f>ROUND((Source!AU296/100)*((ROUND(SUMIF(SmtRes!AQ304:'SmtRes'!AQ305,"=1",SmtRes!AD304:'SmtRes'!AD305)*Source!I296, 2)+ROUND(SUMIF(SmtRes!AQ304:'SmtRes'!AQ305,"=1",SmtRes!AC304:'SmtRes'!AC305)*Source!I296, 2))), 2)</f>
        <v>1304.72</v>
      </c>
      <c r="AN975" s="50">
        <f>L968+L973+L974</f>
        <v>10660.71</v>
      </c>
      <c r="AO975">
        <f>0</f>
        <v>0</v>
      </c>
      <c r="AQ975" t="s">
        <v>846</v>
      </c>
      <c r="AR975" s="50">
        <f>L968</f>
        <v>5076.5300000000007</v>
      </c>
      <c r="AT975">
        <f>0</f>
        <v>0</v>
      </c>
      <c r="AV975" t="s">
        <v>846</v>
      </c>
      <c r="AW975">
        <f>0</f>
        <v>0</v>
      </c>
      <c r="AZ975">
        <f>Source!X296</f>
        <v>3756.63</v>
      </c>
      <c r="BA975">
        <f>Source!Y296</f>
        <v>1827.55</v>
      </c>
      <c r="BR975" s="50">
        <f>K975</f>
        <v>10660.71</v>
      </c>
      <c r="BU975">
        <f>ROUND(K975*80/100, 2)</f>
        <v>8528.57</v>
      </c>
      <c r="BV975" s="50">
        <f>K975-BU975</f>
        <v>2132.1399999999994</v>
      </c>
      <c r="CB975">
        <f>Source!BM296</f>
        <v>200001</v>
      </c>
      <c r="CC975" t="str">
        <f>Source!E296</f>
        <v>55</v>
      </c>
      <c r="CD975">
        <v>4</v>
      </c>
    </row>
    <row r="976" spans="1:82" ht="28.5" x14ac:dyDescent="0.2">
      <c r="A976" s="35" t="s">
        <v>382</v>
      </c>
      <c r="B976" s="37" t="s">
        <v>940</v>
      </c>
      <c r="C976" s="37" t="str">
        <f>Source!G297</f>
        <v>Снятие, обработка и анализ: векторных диаграмм</v>
      </c>
      <c r="D976" s="38" t="str">
        <f>Source!H297</f>
        <v>ШТ</v>
      </c>
      <c r="E976" s="39">
        <f>Source!K297</f>
        <v>1</v>
      </c>
      <c r="F976" s="39"/>
      <c r="G976" s="39">
        <f>Source!I297</f>
        <v>1</v>
      </c>
      <c r="H976" s="41"/>
      <c r="I976" s="40"/>
      <c r="J976" s="41"/>
      <c r="K976" s="40"/>
      <c r="L976" s="41"/>
    </row>
    <row r="977" spans="1:82" ht="15" x14ac:dyDescent="0.2">
      <c r="A977" s="36"/>
      <c r="B977" s="39">
        <v>1</v>
      </c>
      <c r="C977" s="36" t="s">
        <v>835</v>
      </c>
      <c r="D977" s="38" t="s">
        <v>509</v>
      </c>
      <c r="E977" s="43"/>
      <c r="F977" s="39"/>
      <c r="G977" s="43">
        <f>Source!U297</f>
        <v>1.62</v>
      </c>
      <c r="H977" s="39"/>
      <c r="I977" s="39"/>
      <c r="J977" s="39"/>
      <c r="K977" s="39"/>
      <c r="L977" s="44">
        <f>SUM(L978:L979)-SUMIF(CE978:CE979, 1, L978:L979)</f>
        <v>1055.6199999999999</v>
      </c>
    </row>
    <row r="978" spans="1:82" ht="14.25" x14ac:dyDescent="0.2">
      <c r="A978" s="37"/>
      <c r="B978" s="37" t="s">
        <v>757</v>
      </c>
      <c r="C978" s="37" t="s">
        <v>758</v>
      </c>
      <c r="D978" s="38" t="s">
        <v>699</v>
      </c>
      <c r="E978" s="39">
        <v>0.81</v>
      </c>
      <c r="F978" s="39"/>
      <c r="G978" s="39">
        <f>SmtRes!CX306</f>
        <v>0.81</v>
      </c>
      <c r="H978" s="41"/>
      <c r="I978" s="40"/>
      <c r="J978" s="41">
        <f>SmtRes!CZ306</f>
        <v>658.94</v>
      </c>
      <c r="K978" s="40"/>
      <c r="L978" s="41">
        <f>SmtRes!DI306</f>
        <v>533.74</v>
      </c>
    </row>
    <row r="979" spans="1:82" ht="14.25" x14ac:dyDescent="0.2">
      <c r="A979" s="37"/>
      <c r="B979" s="37" t="s">
        <v>759</v>
      </c>
      <c r="C979" s="45" t="s">
        <v>760</v>
      </c>
      <c r="D979" s="46" t="s">
        <v>699</v>
      </c>
      <c r="E979" s="47">
        <v>0.81</v>
      </c>
      <c r="F979" s="47"/>
      <c r="G979" s="47">
        <f>SmtRes!CX307</f>
        <v>0.81</v>
      </c>
      <c r="H979" s="48"/>
      <c r="I979" s="49"/>
      <c r="J979" s="48">
        <f>SmtRes!CZ307</f>
        <v>644.29999999999995</v>
      </c>
      <c r="K979" s="49"/>
      <c r="L979" s="48">
        <f>SmtRes!DI307</f>
        <v>521.88</v>
      </c>
    </row>
    <row r="980" spans="1:82" ht="15" x14ac:dyDescent="0.2">
      <c r="A980" s="37"/>
      <c r="B980" s="37"/>
      <c r="C980" s="51" t="s">
        <v>841</v>
      </c>
      <c r="D980" s="38"/>
      <c r="E980" s="39"/>
      <c r="F980" s="39"/>
      <c r="G980" s="39"/>
      <c r="H980" s="41"/>
      <c r="I980" s="40"/>
      <c r="J980" s="41"/>
      <c r="K980" s="40"/>
      <c r="L980" s="41">
        <f>L977</f>
        <v>1055.6199999999999</v>
      </c>
    </row>
    <row r="981" spans="1:82" ht="14.25" x14ac:dyDescent="0.2">
      <c r="A981" s="37"/>
      <c r="B981" s="37"/>
      <c r="C981" s="37" t="s">
        <v>842</v>
      </c>
      <c r="D981" s="38"/>
      <c r="E981" s="39"/>
      <c r="F981" s="39"/>
      <c r="G981" s="39"/>
      <c r="H981" s="41"/>
      <c r="I981" s="40"/>
      <c r="J981" s="41"/>
      <c r="K981" s="40"/>
      <c r="L981" s="41">
        <f>SUM(AR976:AR984)+SUM(AS976:AS984)+SUM(AT976:AT984)+SUM(AU976:AU984)+SUM(AV976:AV984)</f>
        <v>1055.6199999999999</v>
      </c>
    </row>
    <row r="982" spans="1:82" ht="14.25" x14ac:dyDescent="0.2">
      <c r="A982" s="37"/>
      <c r="B982" s="37" t="s">
        <v>354</v>
      </c>
      <c r="C982" s="37" t="s">
        <v>932</v>
      </c>
      <c r="D982" s="38" t="s">
        <v>669</v>
      </c>
      <c r="E982" s="39">
        <f>Source!BZ297</f>
        <v>74</v>
      </c>
      <c r="F982" s="39"/>
      <c r="G982" s="39">
        <f>Source!AT297</f>
        <v>74</v>
      </c>
      <c r="H982" s="41"/>
      <c r="I982" s="40"/>
      <c r="J982" s="41"/>
      <c r="K982" s="40"/>
      <c r="L982" s="41">
        <f>SUM(AZ976:AZ984)</f>
        <v>781.16</v>
      </c>
    </row>
    <row r="983" spans="1:82" ht="14.25" x14ac:dyDescent="0.2">
      <c r="A983" s="45"/>
      <c r="B983" s="45" t="s">
        <v>355</v>
      </c>
      <c r="C983" s="45" t="s">
        <v>933</v>
      </c>
      <c r="D983" s="46" t="s">
        <v>669</v>
      </c>
      <c r="E983" s="47">
        <f>Source!CA297</f>
        <v>36</v>
      </c>
      <c r="F983" s="47"/>
      <c r="G983" s="47">
        <f>Source!AU297</f>
        <v>36</v>
      </c>
      <c r="H983" s="48"/>
      <c r="I983" s="49"/>
      <c r="J983" s="48"/>
      <c r="K983" s="49"/>
      <c r="L983" s="48">
        <f>SUM(BA976:BA984)</f>
        <v>380.02</v>
      </c>
    </row>
    <row r="984" spans="1:82" ht="15" x14ac:dyDescent="0.2">
      <c r="C984" s="112" t="s">
        <v>845</v>
      </c>
      <c r="D984" s="112"/>
      <c r="E984" s="112"/>
      <c r="F984" s="112"/>
      <c r="G984" s="112"/>
      <c r="H984" s="112"/>
      <c r="I984" s="113">
        <f>K984/E976</f>
        <v>2216.7999999999997</v>
      </c>
      <c r="J984" s="113"/>
      <c r="K984" s="113">
        <f>L977+L982+L983</f>
        <v>2216.7999999999997</v>
      </c>
      <c r="L984" s="113"/>
      <c r="AD984">
        <f>ROUND((Source!AT297/100)*((ROUND(SUMIF(SmtRes!AQ306:'SmtRes'!AQ307,"=1",SmtRes!AD306:'SmtRes'!AD307)*Source!I297, 2)+ROUND(SUMIF(SmtRes!AQ306:'SmtRes'!AQ307,"=1",SmtRes!AC306:'SmtRes'!AC307)*Source!I297, 2))), 2)</f>
        <v>964.4</v>
      </c>
      <c r="AE984">
        <f>ROUND((Source!AU297/100)*((ROUND(SUMIF(SmtRes!AQ306:'SmtRes'!AQ307,"=1",SmtRes!AD306:'SmtRes'!AD307)*Source!I297, 2)+ROUND(SUMIF(SmtRes!AQ306:'SmtRes'!AQ307,"=1",SmtRes!AC306:'SmtRes'!AC307)*Source!I297, 2))), 2)</f>
        <v>469.17</v>
      </c>
      <c r="AN984" s="50">
        <f>L977+L982+L983</f>
        <v>2216.7999999999997</v>
      </c>
      <c r="AO984">
        <f>0</f>
        <v>0</v>
      </c>
      <c r="AQ984" t="s">
        <v>846</v>
      </c>
      <c r="AR984" s="50">
        <f>L977</f>
        <v>1055.6199999999999</v>
      </c>
      <c r="AT984">
        <f>0</f>
        <v>0</v>
      </c>
      <c r="AV984" t="s">
        <v>846</v>
      </c>
      <c r="AW984">
        <f>0</f>
        <v>0</v>
      </c>
      <c r="AZ984">
        <f>Source!X297</f>
        <v>781.16</v>
      </c>
      <c r="BA984">
        <f>Source!Y297</f>
        <v>380.02</v>
      </c>
      <c r="BR984" s="50">
        <f>K984</f>
        <v>2216.7999999999997</v>
      </c>
      <c r="BU984">
        <f>ROUND(K984*80/100, 2)</f>
        <v>1773.44</v>
      </c>
      <c r="BV984" s="50">
        <f>K984-BU984</f>
        <v>443.35999999999967</v>
      </c>
      <c r="CB984">
        <f>Source!BM297</f>
        <v>200001</v>
      </c>
      <c r="CC984" t="str">
        <f>Source!E297</f>
        <v>56</v>
      </c>
      <c r="CD984">
        <v>4</v>
      </c>
    </row>
    <row r="985" spans="1:82" ht="28.5" x14ac:dyDescent="0.2">
      <c r="A985" s="35" t="s">
        <v>386</v>
      </c>
      <c r="B985" s="37" t="s">
        <v>941</v>
      </c>
      <c r="C985" s="37" t="str">
        <f>Source!G298</f>
        <v>Рубильник, номинальный ток: до 1000 А</v>
      </c>
      <c r="D985" s="38" t="str">
        <f>Source!H298</f>
        <v>ШТ</v>
      </c>
      <c r="E985" s="39">
        <f>Source!K298</f>
        <v>2</v>
      </c>
      <c r="F985" s="39"/>
      <c r="G985" s="39">
        <f>Source!I298</f>
        <v>2</v>
      </c>
      <c r="H985" s="41"/>
      <c r="I985" s="40"/>
      <c r="J985" s="41"/>
      <c r="K985" s="40"/>
      <c r="L985" s="41"/>
    </row>
    <row r="986" spans="1:82" ht="15" x14ac:dyDescent="0.2">
      <c r="A986" s="36"/>
      <c r="B986" s="39">
        <v>1</v>
      </c>
      <c r="C986" s="36" t="s">
        <v>835</v>
      </c>
      <c r="D986" s="38" t="s">
        <v>509</v>
      </c>
      <c r="E986" s="43"/>
      <c r="F986" s="39"/>
      <c r="G986" s="43">
        <f>Source!U298</f>
        <v>14.4</v>
      </c>
      <c r="H986" s="39"/>
      <c r="I986" s="39"/>
      <c r="J986" s="39"/>
      <c r="K986" s="39"/>
      <c r="L986" s="44">
        <f>SUM(L987:L988)-SUMIF(CE987:CE988, 1, L987:L988)</f>
        <v>6905.74</v>
      </c>
    </row>
    <row r="987" spans="1:82" ht="14.25" x14ac:dyDescent="0.2">
      <c r="A987" s="37"/>
      <c r="B987" s="37" t="s">
        <v>702</v>
      </c>
      <c r="C987" s="37" t="s">
        <v>703</v>
      </c>
      <c r="D987" s="38" t="s">
        <v>699</v>
      </c>
      <c r="E987" s="39">
        <v>3.6</v>
      </c>
      <c r="F987" s="39"/>
      <c r="G987" s="39">
        <f>SmtRes!CX308</f>
        <v>7.2</v>
      </c>
      <c r="H987" s="41"/>
      <c r="I987" s="40"/>
      <c r="J987" s="41">
        <f>SmtRes!CZ308</f>
        <v>490.55</v>
      </c>
      <c r="K987" s="40"/>
      <c r="L987" s="41">
        <f>SmtRes!DI308</f>
        <v>3531.96</v>
      </c>
    </row>
    <row r="988" spans="1:82" ht="14.25" x14ac:dyDescent="0.2">
      <c r="A988" s="37"/>
      <c r="B988" s="37" t="s">
        <v>761</v>
      </c>
      <c r="C988" s="45" t="s">
        <v>762</v>
      </c>
      <c r="D988" s="46" t="s">
        <v>699</v>
      </c>
      <c r="E988" s="47">
        <v>3.6</v>
      </c>
      <c r="F988" s="47"/>
      <c r="G988" s="47">
        <f>SmtRes!CX309</f>
        <v>7.2</v>
      </c>
      <c r="H988" s="48"/>
      <c r="I988" s="49"/>
      <c r="J988" s="48">
        <f>SmtRes!CZ309</f>
        <v>468.58</v>
      </c>
      <c r="K988" s="49"/>
      <c r="L988" s="48">
        <f>SmtRes!DI309</f>
        <v>3373.78</v>
      </c>
    </row>
    <row r="989" spans="1:82" ht="15" x14ac:dyDescent="0.2">
      <c r="A989" s="37"/>
      <c r="B989" s="37"/>
      <c r="C989" s="51" t="s">
        <v>841</v>
      </c>
      <c r="D989" s="38"/>
      <c r="E989" s="39"/>
      <c r="F989" s="39"/>
      <c r="G989" s="39"/>
      <c r="H989" s="41"/>
      <c r="I989" s="40"/>
      <c r="J989" s="41"/>
      <c r="K989" s="40"/>
      <c r="L989" s="41">
        <f>L986</f>
        <v>6905.74</v>
      </c>
    </row>
    <row r="990" spans="1:82" ht="14.25" x14ac:dyDescent="0.2">
      <c r="A990" s="37"/>
      <c r="B990" s="37"/>
      <c r="C990" s="37" t="s">
        <v>842</v>
      </c>
      <c r="D990" s="38"/>
      <c r="E990" s="39"/>
      <c r="F990" s="39"/>
      <c r="G990" s="39"/>
      <c r="H990" s="41"/>
      <c r="I990" s="40"/>
      <c r="J990" s="41"/>
      <c r="K990" s="40"/>
      <c r="L990" s="41">
        <f>SUM(AR985:AR993)+SUM(AS985:AS993)+SUM(AT985:AT993)+SUM(AU985:AU993)+SUM(AV985:AV993)</f>
        <v>6905.74</v>
      </c>
    </row>
    <row r="991" spans="1:82" ht="14.25" x14ac:dyDescent="0.2">
      <c r="A991" s="37"/>
      <c r="B991" s="37" t="s">
        <v>354</v>
      </c>
      <c r="C991" s="37" t="s">
        <v>932</v>
      </c>
      <c r="D991" s="38" t="s">
        <v>669</v>
      </c>
      <c r="E991" s="39">
        <f>Source!BZ298</f>
        <v>74</v>
      </c>
      <c r="F991" s="39"/>
      <c r="G991" s="39">
        <f>Source!AT298</f>
        <v>74</v>
      </c>
      <c r="H991" s="41"/>
      <c r="I991" s="40"/>
      <c r="J991" s="41"/>
      <c r="K991" s="40"/>
      <c r="L991" s="41">
        <f>SUM(AZ985:AZ993)</f>
        <v>5110.25</v>
      </c>
    </row>
    <row r="992" spans="1:82" ht="14.25" x14ac:dyDescent="0.2">
      <c r="A992" s="45"/>
      <c r="B992" s="45" t="s">
        <v>355</v>
      </c>
      <c r="C992" s="45" t="s">
        <v>933</v>
      </c>
      <c r="D992" s="46" t="s">
        <v>669</v>
      </c>
      <c r="E992" s="47">
        <f>Source!CA298</f>
        <v>36</v>
      </c>
      <c r="F992" s="47"/>
      <c r="G992" s="47">
        <f>Source!AU298</f>
        <v>36</v>
      </c>
      <c r="H992" s="48"/>
      <c r="I992" s="49"/>
      <c r="J992" s="48"/>
      <c r="K992" s="49"/>
      <c r="L992" s="48">
        <f>SUM(BA985:BA993)</f>
        <v>2486.0700000000002</v>
      </c>
    </row>
    <row r="993" spans="1:82" ht="15" x14ac:dyDescent="0.2">
      <c r="C993" s="112" t="s">
        <v>845</v>
      </c>
      <c r="D993" s="112"/>
      <c r="E993" s="112"/>
      <c r="F993" s="112"/>
      <c r="G993" s="112"/>
      <c r="H993" s="112"/>
      <c r="I993" s="113">
        <f>K993/E985</f>
        <v>7251.03</v>
      </c>
      <c r="J993" s="113"/>
      <c r="K993" s="113">
        <f>L986+L991+L992</f>
        <v>14502.06</v>
      </c>
      <c r="L993" s="113"/>
      <c r="AD993">
        <f>ROUND((Source!AT298/100)*((ROUND(SUMIF(SmtRes!AQ308:'SmtRes'!AQ309,"=1",SmtRes!AD308:'SmtRes'!AD309)*Source!I298, 2)+ROUND(SUMIF(SmtRes!AQ308:'SmtRes'!AQ309,"=1",SmtRes!AC308:'SmtRes'!AC309)*Source!I298, 2))), 2)</f>
        <v>1419.51</v>
      </c>
      <c r="AE993">
        <f>ROUND((Source!AU298/100)*((ROUND(SUMIF(SmtRes!AQ308:'SmtRes'!AQ309,"=1",SmtRes!AD308:'SmtRes'!AD309)*Source!I298, 2)+ROUND(SUMIF(SmtRes!AQ308:'SmtRes'!AQ309,"=1",SmtRes!AC308:'SmtRes'!AC309)*Source!I298, 2))), 2)</f>
        <v>690.57</v>
      </c>
      <c r="AN993" s="50">
        <f>L986+L991+L992</f>
        <v>14502.06</v>
      </c>
      <c r="AO993">
        <f>0</f>
        <v>0</v>
      </c>
      <c r="AQ993" t="s">
        <v>846</v>
      </c>
      <c r="AR993" s="50">
        <f>L986</f>
        <v>6905.74</v>
      </c>
      <c r="AT993">
        <f>0</f>
        <v>0</v>
      </c>
      <c r="AV993" t="s">
        <v>846</v>
      </c>
      <c r="AW993">
        <f>0</f>
        <v>0</v>
      </c>
      <c r="AZ993">
        <f>Source!X298</f>
        <v>5110.25</v>
      </c>
      <c r="BA993">
        <f>Source!Y298</f>
        <v>2486.0700000000002</v>
      </c>
      <c r="BR993" s="50">
        <f>K993</f>
        <v>14502.06</v>
      </c>
      <c r="BU993">
        <f>ROUND(K993*80/100, 2)</f>
        <v>11601.65</v>
      </c>
      <c r="BV993" s="50">
        <f>K993-BU993</f>
        <v>2900.41</v>
      </c>
      <c r="CB993">
        <f>Source!BM298</f>
        <v>200001</v>
      </c>
      <c r="CC993" t="str">
        <f>Source!E298</f>
        <v>57</v>
      </c>
      <c r="CD993">
        <v>4</v>
      </c>
    </row>
    <row r="994" spans="1:82" ht="28.5" x14ac:dyDescent="0.2">
      <c r="A994" s="35" t="s">
        <v>390</v>
      </c>
      <c r="B994" s="37" t="s">
        <v>942</v>
      </c>
      <c r="C994" s="37" t="str">
        <f>Source!G299</f>
        <v>Замер полного сопротивления цепи "фаза-нуль"</v>
      </c>
      <c r="D994" s="38" t="str">
        <f>Source!H299</f>
        <v>ШТ</v>
      </c>
      <c r="E994" s="39">
        <f>Source!K299</f>
        <v>5</v>
      </c>
      <c r="F994" s="39"/>
      <c r="G994" s="39">
        <f>Source!I299</f>
        <v>5</v>
      </c>
      <c r="H994" s="41"/>
      <c r="I994" s="40"/>
      <c r="J994" s="41"/>
      <c r="K994" s="40"/>
      <c r="L994" s="41"/>
    </row>
    <row r="995" spans="1:82" ht="15" x14ac:dyDescent="0.2">
      <c r="A995" s="36"/>
      <c r="B995" s="39">
        <v>1</v>
      </c>
      <c r="C995" s="36" t="s">
        <v>835</v>
      </c>
      <c r="D995" s="38" t="s">
        <v>509</v>
      </c>
      <c r="E995" s="43"/>
      <c r="F995" s="39"/>
      <c r="G995" s="43">
        <f>Source!U299</f>
        <v>5</v>
      </c>
      <c r="H995" s="39"/>
      <c r="I995" s="39"/>
      <c r="J995" s="39"/>
      <c r="K995" s="39"/>
      <c r="L995" s="44">
        <f>SUM(L996:L997)-SUMIF(CE996:CE997, 1, L996:L997)</f>
        <v>3258.1</v>
      </c>
    </row>
    <row r="996" spans="1:82" ht="14.25" x14ac:dyDescent="0.2">
      <c r="A996" s="37"/>
      <c r="B996" s="37" t="s">
        <v>757</v>
      </c>
      <c r="C996" s="37" t="s">
        <v>758</v>
      </c>
      <c r="D996" s="38" t="s">
        <v>699</v>
      </c>
      <c r="E996" s="39">
        <v>0.5</v>
      </c>
      <c r="F996" s="39"/>
      <c r="G996" s="39">
        <f>SmtRes!CX310</f>
        <v>2.5</v>
      </c>
      <c r="H996" s="41"/>
      <c r="I996" s="40"/>
      <c r="J996" s="41">
        <f>SmtRes!CZ310</f>
        <v>658.94</v>
      </c>
      <c r="K996" s="40"/>
      <c r="L996" s="41">
        <f>SmtRes!DI310</f>
        <v>1647.35</v>
      </c>
    </row>
    <row r="997" spans="1:82" ht="14.25" x14ac:dyDescent="0.2">
      <c r="A997" s="37"/>
      <c r="B997" s="37" t="s">
        <v>759</v>
      </c>
      <c r="C997" s="45" t="s">
        <v>760</v>
      </c>
      <c r="D997" s="46" t="s">
        <v>699</v>
      </c>
      <c r="E997" s="47">
        <v>0.5</v>
      </c>
      <c r="F997" s="47"/>
      <c r="G997" s="47">
        <f>SmtRes!CX311</f>
        <v>2.5</v>
      </c>
      <c r="H997" s="48"/>
      <c r="I997" s="49"/>
      <c r="J997" s="48">
        <f>SmtRes!CZ311</f>
        <v>644.29999999999995</v>
      </c>
      <c r="K997" s="49"/>
      <c r="L997" s="48">
        <f>SmtRes!DI311</f>
        <v>1610.75</v>
      </c>
    </row>
    <row r="998" spans="1:82" ht="15" x14ac:dyDescent="0.2">
      <c r="A998" s="37"/>
      <c r="B998" s="37"/>
      <c r="C998" s="51" t="s">
        <v>841</v>
      </c>
      <c r="D998" s="38"/>
      <c r="E998" s="39"/>
      <c r="F998" s="39"/>
      <c r="G998" s="39"/>
      <c r="H998" s="41"/>
      <c r="I998" s="40"/>
      <c r="J998" s="41"/>
      <c r="K998" s="40"/>
      <c r="L998" s="41">
        <f>L995</f>
        <v>3258.1</v>
      </c>
    </row>
    <row r="999" spans="1:82" ht="14.25" x14ac:dyDescent="0.2">
      <c r="A999" s="37"/>
      <c r="B999" s="37"/>
      <c r="C999" s="37" t="s">
        <v>842</v>
      </c>
      <c r="D999" s="38"/>
      <c r="E999" s="39"/>
      <c r="F999" s="39"/>
      <c r="G999" s="39"/>
      <c r="H999" s="41"/>
      <c r="I999" s="40"/>
      <c r="J999" s="41"/>
      <c r="K999" s="40"/>
      <c r="L999" s="41">
        <f>SUM(AR994:AR1002)+SUM(AS994:AS1002)+SUM(AT994:AT1002)+SUM(AU994:AU1002)+SUM(AV994:AV1002)</f>
        <v>3258.1</v>
      </c>
    </row>
    <row r="1000" spans="1:82" ht="14.25" x14ac:dyDescent="0.2">
      <c r="A1000" s="37"/>
      <c r="B1000" s="37" t="s">
        <v>354</v>
      </c>
      <c r="C1000" s="37" t="s">
        <v>932</v>
      </c>
      <c r="D1000" s="38" t="s">
        <v>669</v>
      </c>
      <c r="E1000" s="39">
        <f>Source!BZ299</f>
        <v>74</v>
      </c>
      <c r="F1000" s="39"/>
      <c r="G1000" s="39">
        <f>Source!AT299</f>
        <v>74</v>
      </c>
      <c r="H1000" s="41"/>
      <c r="I1000" s="40"/>
      <c r="J1000" s="41"/>
      <c r="K1000" s="40"/>
      <c r="L1000" s="41">
        <f>SUM(AZ994:AZ1002)</f>
        <v>2410.9899999999998</v>
      </c>
    </row>
    <row r="1001" spans="1:82" ht="14.25" x14ac:dyDescent="0.2">
      <c r="A1001" s="45"/>
      <c r="B1001" s="45" t="s">
        <v>355</v>
      </c>
      <c r="C1001" s="45" t="s">
        <v>933</v>
      </c>
      <c r="D1001" s="46" t="s">
        <v>669</v>
      </c>
      <c r="E1001" s="47">
        <f>Source!CA299</f>
        <v>36</v>
      </c>
      <c r="F1001" s="47"/>
      <c r="G1001" s="47">
        <f>Source!AU299</f>
        <v>36</v>
      </c>
      <c r="H1001" s="48"/>
      <c r="I1001" s="49"/>
      <c r="J1001" s="48"/>
      <c r="K1001" s="49"/>
      <c r="L1001" s="48">
        <f>SUM(BA994:BA1002)</f>
        <v>1172.92</v>
      </c>
    </row>
    <row r="1002" spans="1:82" ht="15" x14ac:dyDescent="0.2">
      <c r="C1002" s="112" t="s">
        <v>845</v>
      </c>
      <c r="D1002" s="112"/>
      <c r="E1002" s="112"/>
      <c r="F1002" s="112"/>
      <c r="G1002" s="112"/>
      <c r="H1002" s="112"/>
      <c r="I1002" s="113">
        <f>K1002/E994</f>
        <v>1368.402</v>
      </c>
      <c r="J1002" s="113"/>
      <c r="K1002" s="113">
        <f>L995+L1000+L1001</f>
        <v>6842.01</v>
      </c>
      <c r="L1002" s="113"/>
      <c r="AD1002">
        <f>ROUND((Source!AT299/100)*((ROUND(SUMIF(SmtRes!AQ310:'SmtRes'!AQ311,"=1",SmtRes!AD310:'SmtRes'!AD311)*Source!I299, 2)+ROUND(SUMIF(SmtRes!AQ310:'SmtRes'!AQ311,"=1",SmtRes!AC310:'SmtRes'!AC311)*Source!I299, 2))), 2)</f>
        <v>4821.99</v>
      </c>
      <c r="AE1002">
        <f>ROUND((Source!AU299/100)*((ROUND(SUMIF(SmtRes!AQ310:'SmtRes'!AQ311,"=1",SmtRes!AD310:'SmtRes'!AD311)*Source!I299, 2)+ROUND(SUMIF(SmtRes!AQ310:'SmtRes'!AQ311,"=1",SmtRes!AC310:'SmtRes'!AC311)*Source!I299, 2))), 2)</f>
        <v>2345.83</v>
      </c>
      <c r="AN1002" s="50">
        <f>L995+L1000+L1001</f>
        <v>6842.01</v>
      </c>
      <c r="AO1002">
        <f>0</f>
        <v>0</v>
      </c>
      <c r="AQ1002" t="s">
        <v>846</v>
      </c>
      <c r="AR1002" s="50">
        <f>L995</f>
        <v>3258.1</v>
      </c>
      <c r="AT1002">
        <f>0</f>
        <v>0</v>
      </c>
      <c r="AV1002" t="s">
        <v>846</v>
      </c>
      <c r="AW1002">
        <f>0</f>
        <v>0</v>
      </c>
      <c r="AZ1002">
        <f>Source!X299</f>
        <v>2410.9899999999998</v>
      </c>
      <c r="BA1002">
        <f>Source!Y299</f>
        <v>1172.92</v>
      </c>
      <c r="BR1002" s="50">
        <f>K1002</f>
        <v>6842.01</v>
      </c>
      <c r="BU1002">
        <f>ROUND(K1002*80/100, 2)</f>
        <v>5473.61</v>
      </c>
      <c r="BV1002" s="50">
        <f>K1002-BU1002</f>
        <v>1368.4000000000005</v>
      </c>
      <c r="CB1002">
        <f>Source!BM299</f>
        <v>200001</v>
      </c>
      <c r="CC1002" t="str">
        <f>Source!E299</f>
        <v>58</v>
      </c>
      <c r="CD1002">
        <v>4</v>
      </c>
    </row>
    <row r="1003" spans="1:82" ht="28.5" x14ac:dyDescent="0.2">
      <c r="A1003" s="35" t="s">
        <v>394</v>
      </c>
      <c r="B1003" s="37" t="s">
        <v>943</v>
      </c>
      <c r="C1003" s="37" t="str">
        <f>Source!G300</f>
        <v>Трансформатор тока измерительный выносной напряжением: до 1 кВ</v>
      </c>
      <c r="D1003" s="38" t="str">
        <f>Source!H300</f>
        <v>ШТ</v>
      </c>
      <c r="E1003" s="39">
        <f>Source!K300</f>
        <v>3</v>
      </c>
      <c r="F1003" s="39"/>
      <c r="G1003" s="39">
        <f>Source!I300</f>
        <v>3</v>
      </c>
      <c r="H1003" s="41"/>
      <c r="I1003" s="40"/>
      <c r="J1003" s="41"/>
      <c r="K1003" s="40"/>
      <c r="L1003" s="41"/>
    </row>
    <row r="1004" spans="1:82" ht="15" x14ac:dyDescent="0.2">
      <c r="A1004" s="36"/>
      <c r="B1004" s="39">
        <v>1</v>
      </c>
      <c r="C1004" s="36" t="s">
        <v>835</v>
      </c>
      <c r="D1004" s="38" t="s">
        <v>509</v>
      </c>
      <c r="E1004" s="43"/>
      <c r="F1004" s="39"/>
      <c r="G1004" s="43">
        <f>Source!U300</f>
        <v>3.9</v>
      </c>
      <c r="H1004" s="39"/>
      <c r="I1004" s="39"/>
      <c r="J1004" s="39"/>
      <c r="K1004" s="39"/>
      <c r="L1004" s="44">
        <f>SUM(L1005:L1006)-SUMIF(CE1005:CE1006, 1, L1005:L1006)</f>
        <v>2409.98</v>
      </c>
    </row>
    <row r="1005" spans="1:82" ht="14.25" x14ac:dyDescent="0.2">
      <c r="A1005" s="37"/>
      <c r="B1005" s="37" t="s">
        <v>761</v>
      </c>
      <c r="C1005" s="37" t="s">
        <v>762</v>
      </c>
      <c r="D1005" s="38" t="s">
        <v>699</v>
      </c>
      <c r="E1005" s="39">
        <v>0.52</v>
      </c>
      <c r="F1005" s="39"/>
      <c r="G1005" s="39">
        <f>SmtRes!CX312</f>
        <v>1.56</v>
      </c>
      <c r="H1005" s="41"/>
      <c r="I1005" s="40"/>
      <c r="J1005" s="41">
        <f>SmtRes!CZ312</f>
        <v>468.58</v>
      </c>
      <c r="K1005" s="40"/>
      <c r="L1005" s="41">
        <f>SmtRes!DI312</f>
        <v>730.98</v>
      </c>
    </row>
    <row r="1006" spans="1:82" ht="14.25" x14ac:dyDescent="0.2">
      <c r="A1006" s="37"/>
      <c r="B1006" s="37" t="s">
        <v>765</v>
      </c>
      <c r="C1006" s="45" t="s">
        <v>766</v>
      </c>
      <c r="D1006" s="46" t="s">
        <v>699</v>
      </c>
      <c r="E1006" s="47">
        <v>0.78</v>
      </c>
      <c r="F1006" s="47"/>
      <c r="G1006" s="47">
        <f>SmtRes!CX313</f>
        <v>2.34</v>
      </c>
      <c r="H1006" s="48"/>
      <c r="I1006" s="49"/>
      <c r="J1006" s="48">
        <f>SmtRes!CZ313</f>
        <v>717.52</v>
      </c>
      <c r="K1006" s="49"/>
      <c r="L1006" s="48">
        <f>SmtRes!DI313</f>
        <v>1679</v>
      </c>
    </row>
    <row r="1007" spans="1:82" ht="15" x14ac:dyDescent="0.2">
      <c r="A1007" s="37"/>
      <c r="B1007" s="37"/>
      <c r="C1007" s="51" t="s">
        <v>841</v>
      </c>
      <c r="D1007" s="38"/>
      <c r="E1007" s="39"/>
      <c r="F1007" s="39"/>
      <c r="G1007" s="39"/>
      <c r="H1007" s="41"/>
      <c r="I1007" s="40"/>
      <c r="J1007" s="41"/>
      <c r="K1007" s="40"/>
      <c r="L1007" s="41">
        <f>L1004</f>
        <v>2409.98</v>
      </c>
    </row>
    <row r="1008" spans="1:82" ht="14.25" x14ac:dyDescent="0.2">
      <c r="A1008" s="37"/>
      <c r="B1008" s="37"/>
      <c r="C1008" s="37" t="s">
        <v>842</v>
      </c>
      <c r="D1008" s="38"/>
      <c r="E1008" s="39"/>
      <c r="F1008" s="39"/>
      <c r="G1008" s="39"/>
      <c r="H1008" s="41"/>
      <c r="I1008" s="40"/>
      <c r="J1008" s="41"/>
      <c r="K1008" s="40"/>
      <c r="L1008" s="41">
        <f>SUM(AR1003:AR1011)+SUM(AS1003:AS1011)+SUM(AT1003:AT1011)+SUM(AU1003:AU1011)+SUM(AV1003:AV1011)</f>
        <v>2409.98</v>
      </c>
    </row>
    <row r="1009" spans="1:82" ht="14.25" x14ac:dyDescent="0.2">
      <c r="A1009" s="37"/>
      <c r="B1009" s="37" t="s">
        <v>354</v>
      </c>
      <c r="C1009" s="37" t="s">
        <v>932</v>
      </c>
      <c r="D1009" s="38" t="s">
        <v>669</v>
      </c>
      <c r="E1009" s="39">
        <f>Source!BZ300</f>
        <v>74</v>
      </c>
      <c r="F1009" s="39"/>
      <c r="G1009" s="39">
        <f>Source!AT300</f>
        <v>74</v>
      </c>
      <c r="H1009" s="41"/>
      <c r="I1009" s="40"/>
      <c r="J1009" s="41"/>
      <c r="K1009" s="40"/>
      <c r="L1009" s="41">
        <f>SUM(AZ1003:AZ1011)</f>
        <v>1783.39</v>
      </c>
    </row>
    <row r="1010" spans="1:82" ht="14.25" x14ac:dyDescent="0.2">
      <c r="A1010" s="45"/>
      <c r="B1010" s="45" t="s">
        <v>355</v>
      </c>
      <c r="C1010" s="45" t="s">
        <v>933</v>
      </c>
      <c r="D1010" s="46" t="s">
        <v>669</v>
      </c>
      <c r="E1010" s="47">
        <f>Source!CA300</f>
        <v>36</v>
      </c>
      <c r="F1010" s="47"/>
      <c r="G1010" s="47">
        <f>Source!AU300</f>
        <v>36</v>
      </c>
      <c r="H1010" s="48"/>
      <c r="I1010" s="49"/>
      <c r="J1010" s="48"/>
      <c r="K1010" s="49"/>
      <c r="L1010" s="48">
        <f>SUM(BA1003:BA1011)</f>
        <v>867.59</v>
      </c>
    </row>
    <row r="1011" spans="1:82" ht="15" x14ac:dyDescent="0.2">
      <c r="C1011" s="112" t="s">
        <v>845</v>
      </c>
      <c r="D1011" s="112"/>
      <c r="E1011" s="112"/>
      <c r="F1011" s="112"/>
      <c r="G1011" s="112"/>
      <c r="H1011" s="112"/>
      <c r="I1011" s="113">
        <f>K1011/E1003</f>
        <v>1686.9866666666667</v>
      </c>
      <c r="J1011" s="113"/>
      <c r="K1011" s="113">
        <f>L1004+L1009+L1010</f>
        <v>5060.96</v>
      </c>
      <c r="L1011" s="113"/>
      <c r="AD1011">
        <f>ROUND((Source!AT300/100)*((ROUND(SUMIF(SmtRes!AQ312:'SmtRes'!AQ313,"=1",SmtRes!AD312:'SmtRes'!AD313)*Source!I300, 2)+ROUND(SUMIF(SmtRes!AQ312:'SmtRes'!AQ313,"=1",SmtRes!AC312:'SmtRes'!AC313)*Source!I300, 2))), 2)</f>
        <v>2633.14</v>
      </c>
      <c r="AE1011">
        <f>ROUND((Source!AU300/100)*((ROUND(SUMIF(SmtRes!AQ312:'SmtRes'!AQ313,"=1",SmtRes!AD312:'SmtRes'!AD313)*Source!I300, 2)+ROUND(SUMIF(SmtRes!AQ312:'SmtRes'!AQ313,"=1",SmtRes!AC312:'SmtRes'!AC313)*Source!I300, 2))), 2)</f>
        <v>1280.99</v>
      </c>
      <c r="AN1011" s="50">
        <f>L1004+L1009+L1010</f>
        <v>5060.96</v>
      </c>
      <c r="AO1011">
        <f>0</f>
        <v>0</v>
      </c>
      <c r="AQ1011" t="s">
        <v>846</v>
      </c>
      <c r="AR1011" s="50">
        <f>L1004</f>
        <v>2409.98</v>
      </c>
      <c r="AT1011">
        <f>0</f>
        <v>0</v>
      </c>
      <c r="AV1011" t="s">
        <v>846</v>
      </c>
      <c r="AW1011">
        <f>0</f>
        <v>0</v>
      </c>
      <c r="AZ1011">
        <f>Source!X300</f>
        <v>1783.39</v>
      </c>
      <c r="BA1011">
        <f>Source!Y300</f>
        <v>867.59</v>
      </c>
      <c r="BR1011" s="50">
        <f>K1011</f>
        <v>5060.96</v>
      </c>
      <c r="BU1011">
        <f>ROUND(K1011*80/100, 2)</f>
        <v>4048.77</v>
      </c>
      <c r="BV1011" s="50">
        <f>K1011-BU1011</f>
        <v>1012.19</v>
      </c>
      <c r="CB1011">
        <f>Source!BM300</f>
        <v>200001</v>
      </c>
      <c r="CC1011" t="str">
        <f>Source!E300</f>
        <v>59</v>
      </c>
      <c r="CD1011">
        <v>4</v>
      </c>
    </row>
    <row r="1012" spans="1:82" ht="28.5" x14ac:dyDescent="0.2">
      <c r="A1012" s="35" t="s">
        <v>398</v>
      </c>
      <c r="B1012" s="37" t="s">
        <v>944</v>
      </c>
      <c r="C1012" s="37" t="str">
        <f>Source!G301</f>
        <v>Испытание: первичной обмотки трансформатора измерительного</v>
      </c>
      <c r="D1012" s="38" t="str">
        <f>Source!H301</f>
        <v>испытание</v>
      </c>
      <c r="E1012" s="39">
        <f>Source!K301</f>
        <v>3</v>
      </c>
      <c r="F1012" s="39"/>
      <c r="G1012" s="39">
        <f>Source!I301</f>
        <v>3</v>
      </c>
      <c r="H1012" s="41"/>
      <c r="I1012" s="40"/>
      <c r="J1012" s="41"/>
      <c r="K1012" s="40"/>
      <c r="L1012" s="41"/>
    </row>
    <row r="1013" spans="1:82" ht="15" x14ac:dyDescent="0.2">
      <c r="A1013" s="36"/>
      <c r="B1013" s="39">
        <v>1</v>
      </c>
      <c r="C1013" s="36" t="s">
        <v>835</v>
      </c>
      <c r="D1013" s="38" t="s">
        <v>509</v>
      </c>
      <c r="E1013" s="43"/>
      <c r="F1013" s="39"/>
      <c r="G1013" s="43">
        <f>Source!U301</f>
        <v>7.29</v>
      </c>
      <c r="H1013" s="39"/>
      <c r="I1013" s="39"/>
      <c r="J1013" s="39"/>
      <c r="K1013" s="39"/>
      <c r="L1013" s="44">
        <f>SUM(L1014:L1015)-SUMIF(CE1014:CE1015, 1, L1014:L1015)</f>
        <v>4783.28</v>
      </c>
    </row>
    <row r="1014" spans="1:82" ht="14.25" x14ac:dyDescent="0.2">
      <c r="A1014" s="37"/>
      <c r="B1014" s="37" t="s">
        <v>704</v>
      </c>
      <c r="C1014" s="37" t="s">
        <v>705</v>
      </c>
      <c r="D1014" s="38" t="s">
        <v>699</v>
      </c>
      <c r="E1014" s="39">
        <v>0.97</v>
      </c>
      <c r="F1014" s="39"/>
      <c r="G1014" s="39">
        <f>SmtRes!CX314</f>
        <v>2.91</v>
      </c>
      <c r="H1014" s="41"/>
      <c r="I1014" s="40"/>
      <c r="J1014" s="41">
        <f>SmtRes!CZ314</f>
        <v>563.76</v>
      </c>
      <c r="K1014" s="40"/>
      <c r="L1014" s="41">
        <f>SmtRes!DI314</f>
        <v>1640.54</v>
      </c>
    </row>
    <row r="1015" spans="1:82" ht="14.25" x14ac:dyDescent="0.2">
      <c r="A1015" s="37"/>
      <c r="B1015" s="37" t="s">
        <v>765</v>
      </c>
      <c r="C1015" s="45" t="s">
        <v>766</v>
      </c>
      <c r="D1015" s="46" t="s">
        <v>699</v>
      </c>
      <c r="E1015" s="47">
        <v>1.46</v>
      </c>
      <c r="F1015" s="47"/>
      <c r="G1015" s="47">
        <f>SmtRes!CX315</f>
        <v>4.38</v>
      </c>
      <c r="H1015" s="48"/>
      <c r="I1015" s="49"/>
      <c r="J1015" s="48">
        <f>SmtRes!CZ315</f>
        <v>717.52</v>
      </c>
      <c r="K1015" s="49"/>
      <c r="L1015" s="48">
        <f>SmtRes!DI315</f>
        <v>3142.74</v>
      </c>
    </row>
    <row r="1016" spans="1:82" ht="15" x14ac:dyDescent="0.2">
      <c r="A1016" s="37"/>
      <c r="B1016" s="37"/>
      <c r="C1016" s="51" t="s">
        <v>841</v>
      </c>
      <c r="D1016" s="38"/>
      <c r="E1016" s="39"/>
      <c r="F1016" s="39"/>
      <c r="G1016" s="39"/>
      <c r="H1016" s="41"/>
      <c r="I1016" s="40"/>
      <c r="J1016" s="41"/>
      <c r="K1016" s="40"/>
      <c r="L1016" s="41">
        <f>L1013</f>
        <v>4783.28</v>
      </c>
    </row>
    <row r="1017" spans="1:82" ht="14.25" x14ac:dyDescent="0.2">
      <c r="A1017" s="37"/>
      <c r="B1017" s="37"/>
      <c r="C1017" s="37" t="s">
        <v>842</v>
      </c>
      <c r="D1017" s="38"/>
      <c r="E1017" s="39"/>
      <c r="F1017" s="39"/>
      <c r="G1017" s="39"/>
      <c r="H1017" s="41"/>
      <c r="I1017" s="40"/>
      <c r="J1017" s="41"/>
      <c r="K1017" s="40"/>
      <c r="L1017" s="41">
        <f>SUM(AR1012:AR1020)+SUM(AS1012:AS1020)+SUM(AT1012:AT1020)+SUM(AU1012:AU1020)+SUM(AV1012:AV1020)</f>
        <v>4783.28</v>
      </c>
    </row>
    <row r="1018" spans="1:82" ht="14.25" x14ac:dyDescent="0.2">
      <c r="A1018" s="37"/>
      <c r="B1018" s="37" t="s">
        <v>354</v>
      </c>
      <c r="C1018" s="37" t="s">
        <v>932</v>
      </c>
      <c r="D1018" s="38" t="s">
        <v>669</v>
      </c>
      <c r="E1018" s="39">
        <f>Source!BZ301</f>
        <v>74</v>
      </c>
      <c r="F1018" s="39"/>
      <c r="G1018" s="39">
        <f>Source!AT301</f>
        <v>74</v>
      </c>
      <c r="H1018" s="41"/>
      <c r="I1018" s="40"/>
      <c r="J1018" s="41"/>
      <c r="K1018" s="40"/>
      <c r="L1018" s="41">
        <f>SUM(AZ1012:AZ1020)</f>
        <v>3539.63</v>
      </c>
    </row>
    <row r="1019" spans="1:82" ht="14.25" x14ac:dyDescent="0.2">
      <c r="A1019" s="45"/>
      <c r="B1019" s="45" t="s">
        <v>355</v>
      </c>
      <c r="C1019" s="45" t="s">
        <v>933</v>
      </c>
      <c r="D1019" s="46" t="s">
        <v>669</v>
      </c>
      <c r="E1019" s="47">
        <f>Source!CA301</f>
        <v>36</v>
      </c>
      <c r="F1019" s="47"/>
      <c r="G1019" s="47">
        <f>Source!AU301</f>
        <v>36</v>
      </c>
      <c r="H1019" s="48"/>
      <c r="I1019" s="49"/>
      <c r="J1019" s="48"/>
      <c r="K1019" s="49"/>
      <c r="L1019" s="48">
        <f>SUM(BA1012:BA1020)</f>
        <v>1721.98</v>
      </c>
    </row>
    <row r="1020" spans="1:82" ht="15" x14ac:dyDescent="0.2">
      <c r="C1020" s="112" t="s">
        <v>845</v>
      </c>
      <c r="D1020" s="112"/>
      <c r="E1020" s="112"/>
      <c r="F1020" s="112"/>
      <c r="G1020" s="112"/>
      <c r="H1020" s="112"/>
      <c r="I1020" s="113">
        <f>K1020/E1012</f>
        <v>3348.2966666666666</v>
      </c>
      <c r="J1020" s="113"/>
      <c r="K1020" s="113">
        <f>L1013+L1018+L1019</f>
        <v>10044.89</v>
      </c>
      <c r="L1020" s="113"/>
      <c r="AD1020">
        <f>ROUND((Source!AT301/100)*((ROUND(SUMIF(SmtRes!AQ314:'SmtRes'!AQ315,"=1",SmtRes!AD314:'SmtRes'!AD315)*Source!I301, 2)+ROUND(SUMIF(SmtRes!AQ314:'SmtRes'!AQ315,"=1",SmtRes!AC314:'SmtRes'!AC315)*Source!I301, 2))), 2)</f>
        <v>2844.44</v>
      </c>
      <c r="AE1020">
        <f>ROUND((Source!AU301/100)*((ROUND(SUMIF(SmtRes!AQ314:'SmtRes'!AQ315,"=1",SmtRes!AD314:'SmtRes'!AD315)*Source!I301, 2)+ROUND(SUMIF(SmtRes!AQ314:'SmtRes'!AQ315,"=1",SmtRes!AC314:'SmtRes'!AC315)*Source!I301, 2))), 2)</f>
        <v>1383.78</v>
      </c>
      <c r="AN1020" s="50">
        <f>L1013+L1018+L1019</f>
        <v>10044.89</v>
      </c>
      <c r="AO1020">
        <f>0</f>
        <v>0</v>
      </c>
      <c r="AQ1020" t="s">
        <v>846</v>
      </c>
      <c r="AR1020" s="50">
        <f>L1013</f>
        <v>4783.28</v>
      </c>
      <c r="AT1020">
        <f>0</f>
        <v>0</v>
      </c>
      <c r="AV1020" t="s">
        <v>846</v>
      </c>
      <c r="AW1020">
        <f>0</f>
        <v>0</v>
      </c>
      <c r="AZ1020">
        <f>Source!X301</f>
        <v>3539.63</v>
      </c>
      <c r="BA1020">
        <f>Source!Y301</f>
        <v>1721.98</v>
      </c>
      <c r="BR1020" s="50">
        <f>K1020</f>
        <v>10044.89</v>
      </c>
      <c r="BU1020">
        <f>ROUND(K1020*80/100, 2)</f>
        <v>8035.91</v>
      </c>
      <c r="BV1020" s="50">
        <f>K1020-BU1020</f>
        <v>2008.9799999999996</v>
      </c>
      <c r="CB1020">
        <f>Source!BM301</f>
        <v>200001</v>
      </c>
      <c r="CC1020" t="str">
        <f>Source!E301</f>
        <v>60</v>
      </c>
      <c r="CD1020">
        <v>4</v>
      </c>
    </row>
    <row r="1021" spans="1:82" ht="28.5" x14ac:dyDescent="0.2">
      <c r="A1021" s="35" t="s">
        <v>402</v>
      </c>
      <c r="B1021" s="37" t="s">
        <v>945</v>
      </c>
      <c r="C1021" s="37" t="str">
        <f>Source!G302</f>
        <v>Испытание: вторичной обмотки трансформатора измерительного</v>
      </c>
      <c r="D1021" s="38" t="str">
        <f>Source!H302</f>
        <v>испытание</v>
      </c>
      <c r="E1021" s="39">
        <f>Source!K302</f>
        <v>3</v>
      </c>
      <c r="F1021" s="39"/>
      <c r="G1021" s="39">
        <f>Source!I302</f>
        <v>3</v>
      </c>
      <c r="H1021" s="41"/>
      <c r="I1021" s="40"/>
      <c r="J1021" s="41"/>
      <c r="K1021" s="40"/>
      <c r="L1021" s="41"/>
    </row>
    <row r="1022" spans="1:82" ht="15" x14ac:dyDescent="0.2">
      <c r="A1022" s="36"/>
      <c r="B1022" s="39">
        <v>1</v>
      </c>
      <c r="C1022" s="36" t="s">
        <v>835</v>
      </c>
      <c r="D1022" s="38" t="s">
        <v>509</v>
      </c>
      <c r="E1022" s="43"/>
      <c r="F1022" s="39"/>
      <c r="G1022" s="43">
        <f>Source!U302</f>
        <v>4.8600000000000003</v>
      </c>
      <c r="H1022" s="39"/>
      <c r="I1022" s="39"/>
      <c r="J1022" s="39"/>
      <c r="K1022" s="39"/>
      <c r="L1022" s="44">
        <f>SUM(L1023:L1024)-SUMIF(CE1023:CE1024, 1, L1023:L1024)</f>
        <v>3187.31</v>
      </c>
    </row>
    <row r="1023" spans="1:82" ht="14.25" x14ac:dyDescent="0.2">
      <c r="A1023" s="37"/>
      <c r="B1023" s="37" t="s">
        <v>704</v>
      </c>
      <c r="C1023" s="37" t="s">
        <v>705</v>
      </c>
      <c r="D1023" s="38" t="s">
        <v>699</v>
      </c>
      <c r="E1023" s="39">
        <v>0.65</v>
      </c>
      <c r="F1023" s="39"/>
      <c r="G1023" s="39">
        <f>SmtRes!CX316</f>
        <v>1.95</v>
      </c>
      <c r="H1023" s="41"/>
      <c r="I1023" s="40"/>
      <c r="J1023" s="41">
        <f>SmtRes!CZ316</f>
        <v>563.76</v>
      </c>
      <c r="K1023" s="40"/>
      <c r="L1023" s="41">
        <f>SmtRes!DI316</f>
        <v>1099.33</v>
      </c>
    </row>
    <row r="1024" spans="1:82" ht="14.25" x14ac:dyDescent="0.2">
      <c r="A1024" s="37"/>
      <c r="B1024" s="37" t="s">
        <v>765</v>
      </c>
      <c r="C1024" s="45" t="s">
        <v>766</v>
      </c>
      <c r="D1024" s="46" t="s">
        <v>699</v>
      </c>
      <c r="E1024" s="47">
        <v>0.97</v>
      </c>
      <c r="F1024" s="47"/>
      <c r="G1024" s="47">
        <f>SmtRes!CX317</f>
        <v>2.91</v>
      </c>
      <c r="H1024" s="48"/>
      <c r="I1024" s="49"/>
      <c r="J1024" s="48">
        <f>SmtRes!CZ317</f>
        <v>717.52</v>
      </c>
      <c r="K1024" s="49"/>
      <c r="L1024" s="48">
        <f>SmtRes!DI317</f>
        <v>2087.98</v>
      </c>
    </row>
    <row r="1025" spans="1:82" ht="15" x14ac:dyDescent="0.2">
      <c r="A1025" s="37"/>
      <c r="B1025" s="37"/>
      <c r="C1025" s="51" t="s">
        <v>841</v>
      </c>
      <c r="D1025" s="38"/>
      <c r="E1025" s="39"/>
      <c r="F1025" s="39"/>
      <c r="G1025" s="39"/>
      <c r="H1025" s="41"/>
      <c r="I1025" s="40"/>
      <c r="J1025" s="41"/>
      <c r="K1025" s="40"/>
      <c r="L1025" s="41">
        <f>L1022</f>
        <v>3187.31</v>
      </c>
    </row>
    <row r="1026" spans="1:82" ht="14.25" x14ac:dyDescent="0.2">
      <c r="A1026" s="37"/>
      <c r="B1026" s="37"/>
      <c r="C1026" s="37" t="s">
        <v>842</v>
      </c>
      <c r="D1026" s="38"/>
      <c r="E1026" s="39"/>
      <c r="F1026" s="39"/>
      <c r="G1026" s="39"/>
      <c r="H1026" s="41"/>
      <c r="I1026" s="40"/>
      <c r="J1026" s="41"/>
      <c r="K1026" s="40"/>
      <c r="L1026" s="41">
        <f>SUM(AR1021:AR1029)+SUM(AS1021:AS1029)+SUM(AT1021:AT1029)+SUM(AU1021:AU1029)+SUM(AV1021:AV1029)</f>
        <v>3187.31</v>
      </c>
    </row>
    <row r="1027" spans="1:82" ht="14.25" x14ac:dyDescent="0.2">
      <c r="A1027" s="37"/>
      <c r="B1027" s="37" t="s">
        <v>354</v>
      </c>
      <c r="C1027" s="37" t="s">
        <v>932</v>
      </c>
      <c r="D1027" s="38" t="s">
        <v>669</v>
      </c>
      <c r="E1027" s="39">
        <f>Source!BZ302</f>
        <v>74</v>
      </c>
      <c r="F1027" s="39"/>
      <c r="G1027" s="39">
        <f>Source!AT302</f>
        <v>74</v>
      </c>
      <c r="H1027" s="41"/>
      <c r="I1027" s="40"/>
      <c r="J1027" s="41"/>
      <c r="K1027" s="40"/>
      <c r="L1027" s="41">
        <f>SUM(AZ1021:AZ1029)</f>
        <v>2358.61</v>
      </c>
    </row>
    <row r="1028" spans="1:82" ht="14.25" x14ac:dyDescent="0.2">
      <c r="A1028" s="45"/>
      <c r="B1028" s="45" t="s">
        <v>355</v>
      </c>
      <c r="C1028" s="45" t="s">
        <v>933</v>
      </c>
      <c r="D1028" s="46" t="s">
        <v>669</v>
      </c>
      <c r="E1028" s="47">
        <f>Source!CA302</f>
        <v>36</v>
      </c>
      <c r="F1028" s="47"/>
      <c r="G1028" s="47">
        <f>Source!AU302</f>
        <v>36</v>
      </c>
      <c r="H1028" s="48"/>
      <c r="I1028" s="49"/>
      <c r="J1028" s="48"/>
      <c r="K1028" s="49"/>
      <c r="L1028" s="48">
        <f>SUM(BA1021:BA1029)</f>
        <v>1147.43</v>
      </c>
    </row>
    <row r="1029" spans="1:82" ht="15" x14ac:dyDescent="0.2">
      <c r="C1029" s="112" t="s">
        <v>845</v>
      </c>
      <c r="D1029" s="112"/>
      <c r="E1029" s="112"/>
      <c r="F1029" s="112"/>
      <c r="G1029" s="112"/>
      <c r="H1029" s="112"/>
      <c r="I1029" s="113">
        <f>K1029/E1021</f>
        <v>2231.1166666666668</v>
      </c>
      <c r="J1029" s="113"/>
      <c r="K1029" s="113">
        <f>L1022+L1027+L1028</f>
        <v>6693.35</v>
      </c>
      <c r="L1029" s="113"/>
      <c r="AD1029">
        <f>ROUND((Source!AT302/100)*((ROUND(SUMIF(SmtRes!AQ316:'SmtRes'!AQ317,"=1",SmtRes!AD316:'SmtRes'!AD317)*Source!I302, 2)+ROUND(SUMIF(SmtRes!AQ316:'SmtRes'!AQ317,"=1",SmtRes!AC316:'SmtRes'!AC317)*Source!I302, 2))), 2)</f>
        <v>2844.44</v>
      </c>
      <c r="AE1029">
        <f>ROUND((Source!AU302/100)*((ROUND(SUMIF(SmtRes!AQ316:'SmtRes'!AQ317,"=1",SmtRes!AD316:'SmtRes'!AD317)*Source!I302, 2)+ROUND(SUMIF(SmtRes!AQ316:'SmtRes'!AQ317,"=1",SmtRes!AC316:'SmtRes'!AC317)*Source!I302, 2))), 2)</f>
        <v>1383.78</v>
      </c>
      <c r="AN1029" s="50">
        <f>L1022+L1027+L1028</f>
        <v>6693.35</v>
      </c>
      <c r="AO1029">
        <f>0</f>
        <v>0</v>
      </c>
      <c r="AQ1029" t="s">
        <v>846</v>
      </c>
      <c r="AR1029" s="50">
        <f>L1022</f>
        <v>3187.31</v>
      </c>
      <c r="AT1029">
        <f>0</f>
        <v>0</v>
      </c>
      <c r="AV1029" t="s">
        <v>846</v>
      </c>
      <c r="AW1029">
        <f>0</f>
        <v>0</v>
      </c>
      <c r="AZ1029">
        <f>Source!X302</f>
        <v>2358.61</v>
      </c>
      <c r="BA1029">
        <f>Source!Y302</f>
        <v>1147.43</v>
      </c>
      <c r="BR1029" s="50">
        <f>K1029</f>
        <v>6693.35</v>
      </c>
      <c r="BU1029">
        <f>ROUND(K1029*80/100, 2)</f>
        <v>5354.68</v>
      </c>
      <c r="BV1029" s="50">
        <f>K1029-BU1029</f>
        <v>1338.67</v>
      </c>
      <c r="CB1029">
        <f>Source!BM302</f>
        <v>200001</v>
      </c>
      <c r="CC1029" t="str">
        <f>Source!E302</f>
        <v>61</v>
      </c>
      <c r="CD1029">
        <v>4</v>
      </c>
    </row>
    <row r="1030" spans="1:82" ht="28.5" x14ac:dyDescent="0.2">
      <c r="A1030" s="35" t="s">
        <v>406</v>
      </c>
      <c r="B1030" s="37" t="s">
        <v>946</v>
      </c>
      <c r="C1030" s="37" t="str">
        <f>Source!G303</f>
        <v>Измерение сопротивления растеканию тока: заземлителя</v>
      </c>
      <c r="D1030" s="38" t="str">
        <f>Source!H303</f>
        <v>измерение</v>
      </c>
      <c r="E1030" s="39">
        <f>Source!K303</f>
        <v>8</v>
      </c>
      <c r="F1030" s="39"/>
      <c r="G1030" s="39">
        <f>Source!I303</f>
        <v>8</v>
      </c>
      <c r="H1030" s="41"/>
      <c r="I1030" s="40"/>
      <c r="J1030" s="41"/>
      <c r="K1030" s="40"/>
      <c r="L1030" s="41"/>
    </row>
    <row r="1031" spans="1:82" ht="15" x14ac:dyDescent="0.2">
      <c r="A1031" s="36"/>
      <c r="B1031" s="39">
        <v>1</v>
      </c>
      <c r="C1031" s="36" t="s">
        <v>835</v>
      </c>
      <c r="D1031" s="38" t="s">
        <v>509</v>
      </c>
      <c r="E1031" s="43"/>
      <c r="F1031" s="39"/>
      <c r="G1031" s="43">
        <f>Source!U303</f>
        <v>8</v>
      </c>
      <c r="H1031" s="39"/>
      <c r="I1031" s="39"/>
      <c r="J1031" s="39"/>
      <c r="K1031" s="39"/>
      <c r="L1031" s="44">
        <f>SUM(L1032:L1033)-SUMIF(CE1032:CE1033, 1, L1032:L1033)</f>
        <v>5212.96</v>
      </c>
    </row>
    <row r="1032" spans="1:82" ht="14.25" x14ac:dyDescent="0.2">
      <c r="A1032" s="37"/>
      <c r="B1032" s="37" t="s">
        <v>757</v>
      </c>
      <c r="C1032" s="37" t="s">
        <v>758</v>
      </c>
      <c r="D1032" s="38" t="s">
        <v>699</v>
      </c>
      <c r="E1032" s="39">
        <v>0.5</v>
      </c>
      <c r="F1032" s="39"/>
      <c r="G1032" s="39">
        <f>SmtRes!CX318</f>
        <v>4</v>
      </c>
      <c r="H1032" s="41"/>
      <c r="I1032" s="40"/>
      <c r="J1032" s="41">
        <f>SmtRes!CZ318</f>
        <v>658.94</v>
      </c>
      <c r="K1032" s="40"/>
      <c r="L1032" s="41">
        <f>SmtRes!DI318</f>
        <v>2635.76</v>
      </c>
    </row>
    <row r="1033" spans="1:82" ht="14.25" x14ac:dyDescent="0.2">
      <c r="A1033" s="37"/>
      <c r="B1033" s="37" t="s">
        <v>759</v>
      </c>
      <c r="C1033" s="45" t="s">
        <v>760</v>
      </c>
      <c r="D1033" s="46" t="s">
        <v>699</v>
      </c>
      <c r="E1033" s="47">
        <v>0.5</v>
      </c>
      <c r="F1033" s="47"/>
      <c r="G1033" s="47">
        <f>SmtRes!CX319</f>
        <v>4</v>
      </c>
      <c r="H1033" s="48"/>
      <c r="I1033" s="49"/>
      <c r="J1033" s="48">
        <f>SmtRes!CZ319</f>
        <v>644.29999999999995</v>
      </c>
      <c r="K1033" s="49"/>
      <c r="L1033" s="48">
        <f>SmtRes!DI319</f>
        <v>2577.1999999999998</v>
      </c>
    </row>
    <row r="1034" spans="1:82" ht="15" x14ac:dyDescent="0.2">
      <c r="A1034" s="37"/>
      <c r="B1034" s="37"/>
      <c r="C1034" s="51" t="s">
        <v>841</v>
      </c>
      <c r="D1034" s="38"/>
      <c r="E1034" s="39"/>
      <c r="F1034" s="39"/>
      <c r="G1034" s="39"/>
      <c r="H1034" s="41"/>
      <c r="I1034" s="40"/>
      <c r="J1034" s="41"/>
      <c r="K1034" s="40"/>
      <c r="L1034" s="41">
        <f>L1031</f>
        <v>5212.96</v>
      </c>
    </row>
    <row r="1035" spans="1:82" ht="14.25" x14ac:dyDescent="0.2">
      <c r="A1035" s="37"/>
      <c r="B1035" s="37"/>
      <c r="C1035" s="37" t="s">
        <v>842</v>
      </c>
      <c r="D1035" s="38"/>
      <c r="E1035" s="39"/>
      <c r="F1035" s="39"/>
      <c r="G1035" s="39"/>
      <c r="H1035" s="41"/>
      <c r="I1035" s="40"/>
      <c r="J1035" s="41"/>
      <c r="K1035" s="40"/>
      <c r="L1035" s="41">
        <f>SUM(AR1030:AR1038)+SUM(AS1030:AS1038)+SUM(AT1030:AT1038)+SUM(AU1030:AU1038)+SUM(AV1030:AV1038)</f>
        <v>5212.96</v>
      </c>
    </row>
    <row r="1036" spans="1:82" ht="14.25" x14ac:dyDescent="0.2">
      <c r="A1036" s="37"/>
      <c r="B1036" s="37" t="s">
        <v>354</v>
      </c>
      <c r="C1036" s="37" t="s">
        <v>932</v>
      </c>
      <c r="D1036" s="38" t="s">
        <v>669</v>
      </c>
      <c r="E1036" s="39">
        <f>Source!BZ303</f>
        <v>74</v>
      </c>
      <c r="F1036" s="39"/>
      <c r="G1036" s="39">
        <f>Source!AT303</f>
        <v>74</v>
      </c>
      <c r="H1036" s="41"/>
      <c r="I1036" s="40"/>
      <c r="J1036" s="41"/>
      <c r="K1036" s="40"/>
      <c r="L1036" s="41">
        <f>SUM(AZ1030:AZ1038)</f>
        <v>3857.59</v>
      </c>
    </row>
    <row r="1037" spans="1:82" ht="14.25" x14ac:dyDescent="0.2">
      <c r="A1037" s="45"/>
      <c r="B1037" s="45" t="s">
        <v>355</v>
      </c>
      <c r="C1037" s="45" t="s">
        <v>933</v>
      </c>
      <c r="D1037" s="46" t="s">
        <v>669</v>
      </c>
      <c r="E1037" s="47">
        <f>Source!CA303</f>
        <v>36</v>
      </c>
      <c r="F1037" s="47"/>
      <c r="G1037" s="47">
        <f>Source!AU303</f>
        <v>36</v>
      </c>
      <c r="H1037" s="48"/>
      <c r="I1037" s="49"/>
      <c r="J1037" s="48"/>
      <c r="K1037" s="49"/>
      <c r="L1037" s="48">
        <f>SUM(BA1030:BA1038)</f>
        <v>1876.67</v>
      </c>
    </row>
    <row r="1038" spans="1:82" ht="15" x14ac:dyDescent="0.2">
      <c r="C1038" s="112" t="s">
        <v>845</v>
      </c>
      <c r="D1038" s="112"/>
      <c r="E1038" s="112"/>
      <c r="F1038" s="112"/>
      <c r="G1038" s="112"/>
      <c r="H1038" s="112"/>
      <c r="I1038" s="113">
        <f>K1038/E1030</f>
        <v>1368.4024999999999</v>
      </c>
      <c r="J1038" s="113"/>
      <c r="K1038" s="113">
        <f>L1031+L1036+L1037</f>
        <v>10947.22</v>
      </c>
      <c r="L1038" s="113"/>
      <c r="AD1038">
        <f>ROUND((Source!AT303/100)*((ROUND(SUMIF(SmtRes!AQ318:'SmtRes'!AQ319,"=1",SmtRes!AD318:'SmtRes'!AD319)*Source!I303, 2)+ROUND(SUMIF(SmtRes!AQ318:'SmtRes'!AQ319,"=1",SmtRes!AC318:'SmtRes'!AC319)*Source!I303, 2))), 2)</f>
        <v>7715.18</v>
      </c>
      <c r="AE1038">
        <f>ROUND((Source!AU303/100)*((ROUND(SUMIF(SmtRes!AQ318:'SmtRes'!AQ319,"=1",SmtRes!AD318:'SmtRes'!AD319)*Source!I303, 2)+ROUND(SUMIF(SmtRes!AQ318:'SmtRes'!AQ319,"=1",SmtRes!AC318:'SmtRes'!AC319)*Source!I303, 2))), 2)</f>
        <v>3753.33</v>
      </c>
      <c r="AN1038" s="50">
        <f>L1031+L1036+L1037</f>
        <v>10947.22</v>
      </c>
      <c r="AO1038">
        <f>0</f>
        <v>0</v>
      </c>
      <c r="AQ1038" t="s">
        <v>846</v>
      </c>
      <c r="AR1038" s="50">
        <f>L1031</f>
        <v>5212.96</v>
      </c>
      <c r="AT1038">
        <f>0</f>
        <v>0</v>
      </c>
      <c r="AV1038" t="s">
        <v>846</v>
      </c>
      <c r="AW1038">
        <f>0</f>
        <v>0</v>
      </c>
      <c r="AZ1038">
        <f>Source!X303</f>
        <v>3857.59</v>
      </c>
      <c r="BA1038">
        <f>Source!Y303</f>
        <v>1876.67</v>
      </c>
      <c r="BR1038" s="50">
        <f>K1038</f>
        <v>10947.22</v>
      </c>
      <c r="BU1038">
        <f>ROUND(K1038*80/100, 2)</f>
        <v>8757.7800000000007</v>
      </c>
      <c r="BV1038" s="50">
        <f>K1038-BU1038</f>
        <v>2189.4399999999987</v>
      </c>
      <c r="CB1038">
        <f>Source!BM303</f>
        <v>200001</v>
      </c>
      <c r="CC1038" t="str">
        <f>Source!E303</f>
        <v>62</v>
      </c>
      <c r="CD1038">
        <v>4</v>
      </c>
    </row>
    <row r="1039" spans="1:82" ht="28.5" x14ac:dyDescent="0.2">
      <c r="A1039" s="35" t="s">
        <v>410</v>
      </c>
      <c r="B1039" s="37" t="s">
        <v>947</v>
      </c>
      <c r="C1039" s="37" t="str">
        <f>Source!G304</f>
        <v>Измерение сопротивления растеканию тока: контура с диагональю до 20 м</v>
      </c>
      <c r="D1039" s="38" t="str">
        <f>Source!H304</f>
        <v>измерение</v>
      </c>
      <c r="E1039" s="39">
        <f>Source!K304</f>
        <v>8</v>
      </c>
      <c r="F1039" s="39"/>
      <c r="G1039" s="39">
        <f>Source!I304</f>
        <v>8</v>
      </c>
      <c r="H1039" s="41"/>
      <c r="I1039" s="40"/>
      <c r="J1039" s="41"/>
      <c r="K1039" s="40"/>
      <c r="L1039" s="41"/>
    </row>
    <row r="1040" spans="1:82" ht="15" x14ac:dyDescent="0.2">
      <c r="A1040" s="36"/>
      <c r="B1040" s="39">
        <v>1</v>
      </c>
      <c r="C1040" s="36" t="s">
        <v>835</v>
      </c>
      <c r="D1040" s="38" t="s">
        <v>509</v>
      </c>
      <c r="E1040" s="43"/>
      <c r="F1040" s="39"/>
      <c r="G1040" s="43">
        <f>Source!U304</f>
        <v>12.96</v>
      </c>
      <c r="H1040" s="39"/>
      <c r="I1040" s="39"/>
      <c r="J1040" s="39"/>
      <c r="K1040" s="39"/>
      <c r="L1040" s="44">
        <f>SUM(L1041:L1042)-SUMIF(CE1041:CE1042, 1, L1041:L1042)</f>
        <v>8444.9900000000016</v>
      </c>
    </row>
    <row r="1041" spans="1:82" ht="14.25" x14ac:dyDescent="0.2">
      <c r="A1041" s="37"/>
      <c r="B1041" s="37" t="s">
        <v>757</v>
      </c>
      <c r="C1041" s="37" t="s">
        <v>758</v>
      </c>
      <c r="D1041" s="38" t="s">
        <v>699</v>
      </c>
      <c r="E1041" s="39">
        <v>0.81</v>
      </c>
      <c r="F1041" s="39"/>
      <c r="G1041" s="39">
        <f>SmtRes!CX320</f>
        <v>6.48</v>
      </c>
      <c r="H1041" s="41"/>
      <c r="I1041" s="40"/>
      <c r="J1041" s="41">
        <f>SmtRes!CZ320</f>
        <v>658.94</v>
      </c>
      <c r="K1041" s="40"/>
      <c r="L1041" s="41">
        <f>SmtRes!DI320</f>
        <v>4269.93</v>
      </c>
    </row>
    <row r="1042" spans="1:82" ht="14.25" x14ac:dyDescent="0.2">
      <c r="A1042" s="37"/>
      <c r="B1042" s="37" t="s">
        <v>759</v>
      </c>
      <c r="C1042" s="45" t="s">
        <v>760</v>
      </c>
      <c r="D1042" s="46" t="s">
        <v>699</v>
      </c>
      <c r="E1042" s="47">
        <v>0.81</v>
      </c>
      <c r="F1042" s="47"/>
      <c r="G1042" s="47">
        <f>SmtRes!CX321</f>
        <v>6.48</v>
      </c>
      <c r="H1042" s="48"/>
      <c r="I1042" s="49"/>
      <c r="J1042" s="48">
        <f>SmtRes!CZ321</f>
        <v>644.29999999999995</v>
      </c>
      <c r="K1042" s="49"/>
      <c r="L1042" s="48">
        <f>SmtRes!DI321</f>
        <v>4175.0600000000004</v>
      </c>
    </row>
    <row r="1043" spans="1:82" ht="15" x14ac:dyDescent="0.2">
      <c r="A1043" s="37"/>
      <c r="B1043" s="37"/>
      <c r="C1043" s="51" t="s">
        <v>841</v>
      </c>
      <c r="D1043" s="38"/>
      <c r="E1043" s="39"/>
      <c r="F1043" s="39"/>
      <c r="G1043" s="39"/>
      <c r="H1043" s="41"/>
      <c r="I1043" s="40"/>
      <c r="J1043" s="41"/>
      <c r="K1043" s="40"/>
      <c r="L1043" s="41">
        <f>L1040</f>
        <v>8444.9900000000016</v>
      </c>
    </row>
    <row r="1044" spans="1:82" ht="14.25" x14ac:dyDescent="0.2">
      <c r="A1044" s="37"/>
      <c r="B1044" s="37"/>
      <c r="C1044" s="37" t="s">
        <v>842</v>
      </c>
      <c r="D1044" s="38"/>
      <c r="E1044" s="39"/>
      <c r="F1044" s="39"/>
      <c r="G1044" s="39"/>
      <c r="H1044" s="41"/>
      <c r="I1044" s="40"/>
      <c r="J1044" s="41"/>
      <c r="K1044" s="40"/>
      <c r="L1044" s="41">
        <f>SUM(AR1039:AR1047)+SUM(AS1039:AS1047)+SUM(AT1039:AT1047)+SUM(AU1039:AU1047)+SUM(AV1039:AV1047)</f>
        <v>8444.9900000000016</v>
      </c>
    </row>
    <row r="1045" spans="1:82" ht="14.25" x14ac:dyDescent="0.2">
      <c r="A1045" s="37"/>
      <c r="B1045" s="37" t="s">
        <v>354</v>
      </c>
      <c r="C1045" s="37" t="s">
        <v>932</v>
      </c>
      <c r="D1045" s="38" t="s">
        <v>669</v>
      </c>
      <c r="E1045" s="39">
        <f>Source!BZ304</f>
        <v>74</v>
      </c>
      <c r="F1045" s="39"/>
      <c r="G1045" s="39">
        <f>Source!AT304</f>
        <v>74</v>
      </c>
      <c r="H1045" s="41"/>
      <c r="I1045" s="40"/>
      <c r="J1045" s="41"/>
      <c r="K1045" s="40"/>
      <c r="L1045" s="41">
        <f>SUM(AZ1039:AZ1047)</f>
        <v>6249.29</v>
      </c>
    </row>
    <row r="1046" spans="1:82" ht="14.25" x14ac:dyDescent="0.2">
      <c r="A1046" s="45"/>
      <c r="B1046" s="45" t="s">
        <v>355</v>
      </c>
      <c r="C1046" s="45" t="s">
        <v>933</v>
      </c>
      <c r="D1046" s="46" t="s">
        <v>669</v>
      </c>
      <c r="E1046" s="47">
        <f>Source!CA304</f>
        <v>36</v>
      </c>
      <c r="F1046" s="47"/>
      <c r="G1046" s="47">
        <f>Source!AU304</f>
        <v>36</v>
      </c>
      <c r="H1046" s="48"/>
      <c r="I1046" s="49"/>
      <c r="J1046" s="48"/>
      <c r="K1046" s="49"/>
      <c r="L1046" s="48">
        <f>SUM(BA1039:BA1047)</f>
        <v>3040.2</v>
      </c>
    </row>
    <row r="1047" spans="1:82" ht="15" x14ac:dyDescent="0.2">
      <c r="C1047" s="112" t="s">
        <v>845</v>
      </c>
      <c r="D1047" s="112"/>
      <c r="E1047" s="112"/>
      <c r="F1047" s="112"/>
      <c r="G1047" s="112"/>
      <c r="H1047" s="112"/>
      <c r="I1047" s="113">
        <f>K1047/E1039</f>
        <v>2216.8100000000004</v>
      </c>
      <c r="J1047" s="113"/>
      <c r="K1047" s="113">
        <f>L1040+L1045+L1046</f>
        <v>17734.480000000003</v>
      </c>
      <c r="L1047" s="113"/>
      <c r="AD1047">
        <f>ROUND((Source!AT304/100)*((ROUND(SUMIF(SmtRes!AQ320:'SmtRes'!AQ321,"=1",SmtRes!AD320:'SmtRes'!AD321)*Source!I304, 2)+ROUND(SUMIF(SmtRes!AQ320:'SmtRes'!AQ321,"=1",SmtRes!AC320:'SmtRes'!AC321)*Source!I304, 2))), 2)</f>
        <v>7715.18</v>
      </c>
      <c r="AE1047">
        <f>ROUND((Source!AU304/100)*((ROUND(SUMIF(SmtRes!AQ320:'SmtRes'!AQ321,"=1",SmtRes!AD320:'SmtRes'!AD321)*Source!I304, 2)+ROUND(SUMIF(SmtRes!AQ320:'SmtRes'!AQ321,"=1",SmtRes!AC320:'SmtRes'!AC321)*Source!I304, 2))), 2)</f>
        <v>3753.33</v>
      </c>
      <c r="AN1047" s="50">
        <f>L1040+L1045+L1046</f>
        <v>17734.480000000003</v>
      </c>
      <c r="AO1047">
        <f>0</f>
        <v>0</v>
      </c>
      <c r="AQ1047" t="s">
        <v>846</v>
      </c>
      <c r="AR1047" s="50">
        <f>L1040</f>
        <v>8444.9900000000016</v>
      </c>
      <c r="AT1047">
        <f>0</f>
        <v>0</v>
      </c>
      <c r="AV1047" t="s">
        <v>846</v>
      </c>
      <c r="AW1047">
        <f>0</f>
        <v>0</v>
      </c>
      <c r="AZ1047">
        <f>Source!X304</f>
        <v>6249.29</v>
      </c>
      <c r="BA1047">
        <f>Source!Y304</f>
        <v>3040.2</v>
      </c>
      <c r="BR1047" s="50">
        <f>K1047</f>
        <v>17734.480000000003</v>
      </c>
      <c r="BU1047">
        <f>ROUND(K1047*80/100, 2)</f>
        <v>14187.58</v>
      </c>
      <c r="BV1047" s="50">
        <f>K1047-BU1047</f>
        <v>3546.9000000000033</v>
      </c>
      <c r="CB1047">
        <f>Source!BM304</f>
        <v>200001</v>
      </c>
      <c r="CC1047" t="str">
        <f>Source!E304</f>
        <v>63</v>
      </c>
      <c r="CD1047">
        <v>4</v>
      </c>
    </row>
    <row r="1048" spans="1:82" ht="42.75" x14ac:dyDescent="0.2">
      <c r="A1048" s="35" t="s">
        <v>414</v>
      </c>
      <c r="B1048" s="37" t="s">
        <v>948</v>
      </c>
      <c r="C1048" s="37" t="str">
        <f>Source!G305</f>
        <v>Проверка наличия цепи между заземлителями и заземленными элементами</v>
      </c>
      <c r="D1048" s="38" t="str">
        <f>Source!H305</f>
        <v>100 измерений</v>
      </c>
      <c r="E1048" s="39">
        <f>Source!K305</f>
        <v>0.08</v>
      </c>
      <c r="F1048" s="39"/>
      <c r="G1048" s="39">
        <f>Source!I305</f>
        <v>0.08</v>
      </c>
      <c r="H1048" s="41"/>
      <c r="I1048" s="40"/>
      <c r="J1048" s="41"/>
      <c r="K1048" s="40"/>
      <c r="L1048" s="41"/>
    </row>
    <row r="1049" spans="1:82" x14ac:dyDescent="0.2">
      <c r="C1049" s="58" t="str">
        <f>"Объем: "&amp;Source!I305&amp;"=8/"&amp;"100"</f>
        <v>Объем: 0,08=8/100</v>
      </c>
    </row>
    <row r="1050" spans="1:82" ht="15" x14ac:dyDescent="0.2">
      <c r="A1050" s="36"/>
      <c r="B1050" s="39">
        <v>1</v>
      </c>
      <c r="C1050" s="36" t="s">
        <v>835</v>
      </c>
      <c r="D1050" s="38" t="s">
        <v>509</v>
      </c>
      <c r="E1050" s="43"/>
      <c r="F1050" s="39"/>
      <c r="G1050" s="43">
        <f>Source!U305</f>
        <v>1.0367999999999999</v>
      </c>
      <c r="H1050" s="39"/>
      <c r="I1050" s="39"/>
      <c r="J1050" s="39"/>
      <c r="K1050" s="39"/>
      <c r="L1050" s="44">
        <f>SUM(L1051:L1052)-SUMIF(CE1051:CE1052, 1, L1051:L1052)</f>
        <v>675.59999999999991</v>
      </c>
    </row>
    <row r="1051" spans="1:82" ht="14.25" x14ac:dyDescent="0.2">
      <c r="A1051" s="37"/>
      <c r="B1051" s="37" t="s">
        <v>757</v>
      </c>
      <c r="C1051" s="37" t="s">
        <v>758</v>
      </c>
      <c r="D1051" s="38" t="s">
        <v>699</v>
      </c>
      <c r="E1051" s="39">
        <v>6.48</v>
      </c>
      <c r="F1051" s="39"/>
      <c r="G1051" s="39">
        <f>SmtRes!CX322</f>
        <v>0.51839999999999997</v>
      </c>
      <c r="H1051" s="41"/>
      <c r="I1051" s="40"/>
      <c r="J1051" s="41">
        <f>SmtRes!CZ322</f>
        <v>658.94</v>
      </c>
      <c r="K1051" s="40"/>
      <c r="L1051" s="41">
        <f>SmtRes!DI322</f>
        <v>341.59</v>
      </c>
    </row>
    <row r="1052" spans="1:82" ht="14.25" x14ac:dyDescent="0.2">
      <c r="A1052" s="37"/>
      <c r="B1052" s="37" t="s">
        <v>759</v>
      </c>
      <c r="C1052" s="45" t="s">
        <v>760</v>
      </c>
      <c r="D1052" s="46" t="s">
        <v>699</v>
      </c>
      <c r="E1052" s="47">
        <v>6.48</v>
      </c>
      <c r="F1052" s="47"/>
      <c r="G1052" s="47">
        <f>SmtRes!CX323</f>
        <v>0.51839999999999997</v>
      </c>
      <c r="H1052" s="48"/>
      <c r="I1052" s="49"/>
      <c r="J1052" s="48">
        <f>SmtRes!CZ323</f>
        <v>644.29999999999995</v>
      </c>
      <c r="K1052" s="49"/>
      <c r="L1052" s="48">
        <f>SmtRes!DI323</f>
        <v>334.01</v>
      </c>
    </row>
    <row r="1053" spans="1:82" ht="15" x14ac:dyDescent="0.2">
      <c r="A1053" s="37"/>
      <c r="B1053" s="37"/>
      <c r="C1053" s="51" t="s">
        <v>841</v>
      </c>
      <c r="D1053" s="38"/>
      <c r="E1053" s="39"/>
      <c r="F1053" s="39"/>
      <c r="G1053" s="39"/>
      <c r="H1053" s="41"/>
      <c r="I1053" s="40"/>
      <c r="J1053" s="41"/>
      <c r="K1053" s="40"/>
      <c r="L1053" s="41">
        <f>L1050</f>
        <v>675.59999999999991</v>
      </c>
    </row>
    <row r="1054" spans="1:82" ht="14.25" x14ac:dyDescent="0.2">
      <c r="A1054" s="37"/>
      <c r="B1054" s="37"/>
      <c r="C1054" s="37" t="s">
        <v>842</v>
      </c>
      <c r="D1054" s="38"/>
      <c r="E1054" s="39"/>
      <c r="F1054" s="39"/>
      <c r="G1054" s="39"/>
      <c r="H1054" s="41"/>
      <c r="I1054" s="40"/>
      <c r="J1054" s="41"/>
      <c r="K1054" s="40"/>
      <c r="L1054" s="41">
        <f>SUM(AR1048:AR1057)+SUM(AS1048:AS1057)+SUM(AT1048:AT1057)+SUM(AU1048:AU1057)+SUM(AV1048:AV1057)</f>
        <v>675.59999999999991</v>
      </c>
    </row>
    <row r="1055" spans="1:82" ht="14.25" x14ac:dyDescent="0.2">
      <c r="A1055" s="37"/>
      <c r="B1055" s="37" t="s">
        <v>354</v>
      </c>
      <c r="C1055" s="37" t="s">
        <v>932</v>
      </c>
      <c r="D1055" s="38" t="s">
        <v>669</v>
      </c>
      <c r="E1055" s="39">
        <f>Source!BZ305</f>
        <v>74</v>
      </c>
      <c r="F1055" s="39"/>
      <c r="G1055" s="39">
        <f>Source!AT305</f>
        <v>74</v>
      </c>
      <c r="H1055" s="41"/>
      <c r="I1055" s="40"/>
      <c r="J1055" s="41"/>
      <c r="K1055" s="40"/>
      <c r="L1055" s="41">
        <f>SUM(AZ1048:AZ1057)</f>
        <v>499.94</v>
      </c>
    </row>
    <row r="1056" spans="1:82" ht="14.25" x14ac:dyDescent="0.2">
      <c r="A1056" s="45"/>
      <c r="B1056" s="45" t="s">
        <v>355</v>
      </c>
      <c r="C1056" s="45" t="s">
        <v>933</v>
      </c>
      <c r="D1056" s="46" t="s">
        <v>669</v>
      </c>
      <c r="E1056" s="47">
        <f>Source!CA305</f>
        <v>36</v>
      </c>
      <c r="F1056" s="47"/>
      <c r="G1056" s="47">
        <f>Source!AU305</f>
        <v>36</v>
      </c>
      <c r="H1056" s="48"/>
      <c r="I1056" s="49"/>
      <c r="J1056" s="48"/>
      <c r="K1056" s="49"/>
      <c r="L1056" s="48">
        <f>SUM(BA1048:BA1057)</f>
        <v>243.22</v>
      </c>
    </row>
    <row r="1057" spans="1:82" ht="15" x14ac:dyDescent="0.2">
      <c r="C1057" s="112" t="s">
        <v>845</v>
      </c>
      <c r="D1057" s="112"/>
      <c r="E1057" s="112"/>
      <c r="F1057" s="112"/>
      <c r="G1057" s="112"/>
      <c r="H1057" s="112"/>
      <c r="I1057" s="113">
        <f>K1057/E1048</f>
        <v>17734.5</v>
      </c>
      <c r="J1057" s="113"/>
      <c r="K1057" s="113">
        <f>L1050+L1055+L1056</f>
        <v>1418.76</v>
      </c>
      <c r="L1057" s="113"/>
      <c r="AD1057">
        <f>ROUND((Source!AT305/100)*((ROUND(SUMIF(SmtRes!AQ322:'SmtRes'!AQ323,"=1",SmtRes!AD322:'SmtRes'!AD323)*Source!I305, 2)+ROUND(SUMIF(SmtRes!AQ322:'SmtRes'!AQ323,"=1",SmtRes!AC322:'SmtRes'!AC323)*Source!I305, 2))), 2)</f>
        <v>77.150000000000006</v>
      </c>
      <c r="AE1057">
        <f>ROUND((Source!AU305/100)*((ROUND(SUMIF(SmtRes!AQ322:'SmtRes'!AQ323,"=1",SmtRes!AD322:'SmtRes'!AD323)*Source!I305, 2)+ROUND(SUMIF(SmtRes!AQ322:'SmtRes'!AQ323,"=1",SmtRes!AC322:'SmtRes'!AC323)*Source!I305, 2))), 2)</f>
        <v>37.53</v>
      </c>
      <c r="AN1057" s="50">
        <f>L1050+L1055+L1056</f>
        <v>1418.76</v>
      </c>
      <c r="AO1057">
        <f>0</f>
        <v>0</v>
      </c>
      <c r="AQ1057" t="s">
        <v>846</v>
      </c>
      <c r="AR1057" s="50">
        <f>L1050</f>
        <v>675.59999999999991</v>
      </c>
      <c r="AT1057">
        <f>0</f>
        <v>0</v>
      </c>
      <c r="AV1057" t="s">
        <v>846</v>
      </c>
      <c r="AW1057">
        <f>0</f>
        <v>0</v>
      </c>
      <c r="AZ1057">
        <f>Source!X305</f>
        <v>499.94</v>
      </c>
      <c r="BA1057">
        <f>Source!Y305</f>
        <v>243.22</v>
      </c>
      <c r="BR1057" s="50">
        <f>K1057</f>
        <v>1418.76</v>
      </c>
      <c r="BU1057">
        <f>ROUND(K1057*80/100, 2)</f>
        <v>1135.01</v>
      </c>
      <c r="BV1057" s="50">
        <f>K1057-BU1057</f>
        <v>283.75</v>
      </c>
      <c r="CB1057">
        <f>Source!BM305</f>
        <v>200001</v>
      </c>
      <c r="CC1057" t="str">
        <f>Source!E305</f>
        <v>64</v>
      </c>
      <c r="CD1057">
        <v>4</v>
      </c>
    </row>
    <row r="1058" spans="1:82" ht="28.5" x14ac:dyDescent="0.2">
      <c r="A1058" s="35" t="s">
        <v>419</v>
      </c>
      <c r="B1058" s="37" t="s">
        <v>949</v>
      </c>
      <c r="C1058" s="37" t="str">
        <f>Source!G306</f>
        <v>Определение удельного сопротивления грунта</v>
      </c>
      <c r="D1058" s="38" t="str">
        <f>Source!H306</f>
        <v>измерение</v>
      </c>
      <c r="E1058" s="39">
        <f>Source!K306</f>
        <v>8</v>
      </c>
      <c r="F1058" s="39"/>
      <c r="G1058" s="39">
        <f>Source!I306</f>
        <v>8</v>
      </c>
      <c r="H1058" s="41"/>
      <c r="I1058" s="40"/>
      <c r="J1058" s="41"/>
      <c r="K1058" s="40"/>
      <c r="L1058" s="41"/>
    </row>
    <row r="1059" spans="1:82" ht="15" x14ac:dyDescent="0.2">
      <c r="A1059" s="36"/>
      <c r="B1059" s="39">
        <v>1</v>
      </c>
      <c r="C1059" s="36" t="s">
        <v>835</v>
      </c>
      <c r="D1059" s="38" t="s">
        <v>509</v>
      </c>
      <c r="E1059" s="43"/>
      <c r="F1059" s="39"/>
      <c r="G1059" s="43">
        <f>Source!U306</f>
        <v>25.92</v>
      </c>
      <c r="H1059" s="39"/>
      <c r="I1059" s="39"/>
      <c r="J1059" s="39"/>
      <c r="K1059" s="39"/>
      <c r="L1059" s="44">
        <f>SUM(L1060:L1061)-SUMIF(CE1060:CE1061, 1, L1060:L1061)</f>
        <v>16889.989999999998</v>
      </c>
    </row>
    <row r="1060" spans="1:82" ht="14.25" x14ac:dyDescent="0.2">
      <c r="A1060" s="37"/>
      <c r="B1060" s="37" t="s">
        <v>757</v>
      </c>
      <c r="C1060" s="37" t="s">
        <v>758</v>
      </c>
      <c r="D1060" s="38" t="s">
        <v>699</v>
      </c>
      <c r="E1060" s="39">
        <v>1.62</v>
      </c>
      <c r="F1060" s="39"/>
      <c r="G1060" s="39">
        <f>SmtRes!CX324</f>
        <v>12.96</v>
      </c>
      <c r="H1060" s="41"/>
      <c r="I1060" s="40"/>
      <c r="J1060" s="41">
        <f>SmtRes!CZ324</f>
        <v>658.94</v>
      </c>
      <c r="K1060" s="40"/>
      <c r="L1060" s="41">
        <f>SmtRes!DI324</f>
        <v>8539.86</v>
      </c>
    </row>
    <row r="1061" spans="1:82" ht="14.25" x14ac:dyDescent="0.2">
      <c r="A1061" s="37"/>
      <c r="B1061" s="37" t="s">
        <v>759</v>
      </c>
      <c r="C1061" s="45" t="s">
        <v>760</v>
      </c>
      <c r="D1061" s="46" t="s">
        <v>699</v>
      </c>
      <c r="E1061" s="47">
        <v>1.62</v>
      </c>
      <c r="F1061" s="47"/>
      <c r="G1061" s="47">
        <f>SmtRes!CX325</f>
        <v>12.96</v>
      </c>
      <c r="H1061" s="48"/>
      <c r="I1061" s="49"/>
      <c r="J1061" s="48">
        <f>SmtRes!CZ325</f>
        <v>644.29999999999995</v>
      </c>
      <c r="K1061" s="49"/>
      <c r="L1061" s="48">
        <f>SmtRes!DI325</f>
        <v>8350.1299999999992</v>
      </c>
    </row>
    <row r="1062" spans="1:82" ht="15" x14ac:dyDescent="0.2">
      <c r="A1062" s="37"/>
      <c r="B1062" s="37"/>
      <c r="C1062" s="51" t="s">
        <v>841</v>
      </c>
      <c r="D1062" s="38"/>
      <c r="E1062" s="39"/>
      <c r="F1062" s="39"/>
      <c r="G1062" s="39"/>
      <c r="H1062" s="41"/>
      <c r="I1062" s="40"/>
      <c r="J1062" s="41"/>
      <c r="K1062" s="40"/>
      <c r="L1062" s="41">
        <f>L1059</f>
        <v>16889.989999999998</v>
      </c>
    </row>
    <row r="1063" spans="1:82" ht="14.25" x14ac:dyDescent="0.2">
      <c r="A1063" s="37"/>
      <c r="B1063" s="37"/>
      <c r="C1063" s="37" t="s">
        <v>842</v>
      </c>
      <c r="D1063" s="38"/>
      <c r="E1063" s="39"/>
      <c r="F1063" s="39"/>
      <c r="G1063" s="39"/>
      <c r="H1063" s="41"/>
      <c r="I1063" s="40"/>
      <c r="J1063" s="41"/>
      <c r="K1063" s="40"/>
      <c r="L1063" s="41">
        <f>SUM(AR1058:AR1066)+SUM(AS1058:AS1066)+SUM(AT1058:AT1066)+SUM(AU1058:AU1066)+SUM(AV1058:AV1066)</f>
        <v>16889.989999999998</v>
      </c>
    </row>
    <row r="1064" spans="1:82" ht="14.25" x14ac:dyDescent="0.2">
      <c r="A1064" s="37"/>
      <c r="B1064" s="37" t="s">
        <v>354</v>
      </c>
      <c r="C1064" s="37" t="s">
        <v>932</v>
      </c>
      <c r="D1064" s="38" t="s">
        <v>669</v>
      </c>
      <c r="E1064" s="39">
        <f>Source!BZ306</f>
        <v>74</v>
      </c>
      <c r="F1064" s="39"/>
      <c r="G1064" s="39">
        <f>Source!AT306</f>
        <v>74</v>
      </c>
      <c r="H1064" s="41"/>
      <c r="I1064" s="40"/>
      <c r="J1064" s="41"/>
      <c r="K1064" s="40"/>
      <c r="L1064" s="41">
        <f>SUM(AZ1058:AZ1066)</f>
        <v>12498.59</v>
      </c>
    </row>
    <row r="1065" spans="1:82" ht="14.25" x14ac:dyDescent="0.2">
      <c r="A1065" s="45"/>
      <c r="B1065" s="45" t="s">
        <v>355</v>
      </c>
      <c r="C1065" s="45" t="s">
        <v>933</v>
      </c>
      <c r="D1065" s="46" t="s">
        <v>669</v>
      </c>
      <c r="E1065" s="47">
        <f>Source!CA306</f>
        <v>36</v>
      </c>
      <c r="F1065" s="47"/>
      <c r="G1065" s="47">
        <f>Source!AU306</f>
        <v>36</v>
      </c>
      <c r="H1065" s="48"/>
      <c r="I1065" s="49"/>
      <c r="J1065" s="48"/>
      <c r="K1065" s="49"/>
      <c r="L1065" s="48">
        <f>SUM(BA1058:BA1066)</f>
        <v>6080.4</v>
      </c>
    </row>
    <row r="1066" spans="1:82" ht="15" x14ac:dyDescent="0.2">
      <c r="C1066" s="112" t="s">
        <v>845</v>
      </c>
      <c r="D1066" s="112"/>
      <c r="E1066" s="112"/>
      <c r="F1066" s="112"/>
      <c r="G1066" s="112"/>
      <c r="H1066" s="112"/>
      <c r="I1066" s="113">
        <f>K1066/E1058</f>
        <v>4433.6224999999995</v>
      </c>
      <c r="J1066" s="113"/>
      <c r="K1066" s="113">
        <f>L1059+L1064+L1065</f>
        <v>35468.979999999996</v>
      </c>
      <c r="L1066" s="113"/>
      <c r="AD1066">
        <f>ROUND((Source!AT306/100)*((ROUND(SUMIF(SmtRes!AQ324:'SmtRes'!AQ325,"=1",SmtRes!AD324:'SmtRes'!AD325)*Source!I306, 2)+ROUND(SUMIF(SmtRes!AQ324:'SmtRes'!AQ325,"=1",SmtRes!AC324:'SmtRes'!AC325)*Source!I306, 2))), 2)</f>
        <v>7715.18</v>
      </c>
      <c r="AE1066">
        <f>ROUND((Source!AU306/100)*((ROUND(SUMIF(SmtRes!AQ324:'SmtRes'!AQ325,"=1",SmtRes!AD324:'SmtRes'!AD325)*Source!I306, 2)+ROUND(SUMIF(SmtRes!AQ324:'SmtRes'!AQ325,"=1",SmtRes!AC324:'SmtRes'!AC325)*Source!I306, 2))), 2)</f>
        <v>3753.33</v>
      </c>
      <c r="AN1066" s="50">
        <f>L1059+L1064+L1065</f>
        <v>35468.979999999996</v>
      </c>
      <c r="AO1066">
        <f>0</f>
        <v>0</v>
      </c>
      <c r="AQ1066" t="s">
        <v>846</v>
      </c>
      <c r="AR1066" s="50">
        <f>L1059</f>
        <v>16889.989999999998</v>
      </c>
      <c r="AT1066">
        <f>0</f>
        <v>0</v>
      </c>
      <c r="AV1066" t="s">
        <v>846</v>
      </c>
      <c r="AW1066">
        <f>0</f>
        <v>0</v>
      </c>
      <c r="AZ1066">
        <f>Source!X306</f>
        <v>12498.59</v>
      </c>
      <c r="BA1066">
        <f>Source!Y306</f>
        <v>6080.4</v>
      </c>
      <c r="BR1066" s="50">
        <f>K1066</f>
        <v>35468.979999999996</v>
      </c>
      <c r="BU1066">
        <f>ROUND(K1066*80/100, 2)</f>
        <v>28375.18</v>
      </c>
      <c r="BV1066" s="50">
        <f>K1066-BU1066</f>
        <v>7093.7999999999956</v>
      </c>
      <c r="CB1066">
        <f>Source!BM306</f>
        <v>200001</v>
      </c>
      <c r="CC1066" t="str">
        <f>Source!E306</f>
        <v>65</v>
      </c>
      <c r="CD1066">
        <v>4</v>
      </c>
    </row>
    <row r="1068" spans="1:82" ht="15" x14ac:dyDescent="0.2">
      <c r="A1068" s="59"/>
      <c r="B1068" s="60"/>
      <c r="C1068" s="117" t="s">
        <v>881</v>
      </c>
      <c r="D1068" s="117"/>
      <c r="E1068" s="117"/>
      <c r="F1068" s="117"/>
      <c r="G1068" s="117"/>
      <c r="H1068" s="117"/>
      <c r="I1068" s="44"/>
      <c r="J1068" s="59"/>
      <c r="K1068" s="61"/>
      <c r="L1068" s="44">
        <f>L1070+L1071+L1077+L1081</f>
        <v>102056.87000000002</v>
      </c>
    </row>
    <row r="1069" spans="1:82" ht="14.25" x14ac:dyDescent="0.2">
      <c r="A1069" s="52"/>
      <c r="B1069" s="58"/>
      <c r="C1069" s="116" t="s">
        <v>882</v>
      </c>
      <c r="D1069" s="115"/>
      <c r="E1069" s="115"/>
      <c r="F1069" s="115"/>
      <c r="G1069" s="115"/>
      <c r="H1069" s="115"/>
      <c r="I1069" s="41"/>
      <c r="J1069" s="52"/>
      <c r="K1069" s="39"/>
      <c r="L1069" s="41"/>
    </row>
    <row r="1070" spans="1:82" ht="14.25" x14ac:dyDescent="0.2">
      <c r="A1070" s="52"/>
      <c r="B1070" s="58"/>
      <c r="C1070" s="115" t="s">
        <v>883</v>
      </c>
      <c r="D1070" s="115"/>
      <c r="E1070" s="115"/>
      <c r="F1070" s="115"/>
      <c r="G1070" s="115"/>
      <c r="H1070" s="115"/>
      <c r="I1070" s="41"/>
      <c r="J1070" s="52"/>
      <c r="K1070" s="39"/>
      <c r="L1070" s="41">
        <f>SUM(AR910:AR1066)</f>
        <v>102056.87000000002</v>
      </c>
    </row>
    <row r="1071" spans="1:82" ht="14.25" hidden="1" x14ac:dyDescent="0.2">
      <c r="A1071" s="52"/>
      <c r="B1071" s="58"/>
      <c r="C1071" s="115" t="s">
        <v>884</v>
      </c>
      <c r="D1071" s="115"/>
      <c r="E1071" s="115"/>
      <c r="F1071" s="115"/>
      <c r="G1071" s="115"/>
      <c r="H1071" s="115"/>
      <c r="I1071" s="41"/>
      <c r="J1071" s="52"/>
      <c r="K1071" s="39"/>
      <c r="L1071" s="41">
        <f>L1073+L1076+L1075</f>
        <v>0</v>
      </c>
    </row>
    <row r="1072" spans="1:82" ht="14.25" hidden="1" x14ac:dyDescent="0.2">
      <c r="A1072" s="52"/>
      <c r="B1072" s="58"/>
      <c r="C1072" s="116" t="s">
        <v>885</v>
      </c>
      <c r="D1072" s="115"/>
      <c r="E1072" s="115"/>
      <c r="F1072" s="115"/>
      <c r="G1072" s="115"/>
      <c r="H1072" s="115"/>
      <c r="I1072" s="41"/>
      <c r="J1072" s="52"/>
      <c r="K1072" s="39"/>
      <c r="L1072" s="41"/>
    </row>
    <row r="1073" spans="1:12" ht="14.25" hidden="1" x14ac:dyDescent="0.2">
      <c r="A1073" s="52"/>
      <c r="B1073" s="58"/>
      <c r="C1073" s="115" t="s">
        <v>884</v>
      </c>
      <c r="D1073" s="115"/>
      <c r="E1073" s="115"/>
      <c r="F1073" s="115"/>
      <c r="G1073" s="115"/>
      <c r="H1073" s="115"/>
      <c r="I1073" s="41"/>
      <c r="J1073" s="52"/>
      <c r="K1073" s="39"/>
      <c r="L1073" s="41">
        <f>SUM(AO910:AO1066)</f>
        <v>0</v>
      </c>
    </row>
    <row r="1074" spans="1:12" ht="14.25" hidden="1" x14ac:dyDescent="0.2">
      <c r="A1074" s="52"/>
      <c r="B1074" s="58"/>
      <c r="C1074" s="116" t="s">
        <v>886</v>
      </c>
      <c r="D1074" s="115"/>
      <c r="E1074" s="115"/>
      <c r="F1074" s="115"/>
      <c r="G1074" s="115"/>
      <c r="H1074" s="115"/>
      <c r="I1074" s="41"/>
      <c r="J1074" s="52"/>
      <c r="K1074" s="39"/>
      <c r="L1074" s="41"/>
    </row>
    <row r="1075" spans="1:12" ht="14.25" hidden="1" x14ac:dyDescent="0.2">
      <c r="A1075" s="52"/>
      <c r="B1075" s="58"/>
      <c r="C1075" s="115" t="s">
        <v>906</v>
      </c>
      <c r="D1075" s="115"/>
      <c r="E1075" s="115"/>
      <c r="F1075" s="115"/>
      <c r="G1075" s="115"/>
      <c r="H1075" s="115"/>
      <c r="I1075" s="41"/>
      <c r="J1075" s="52"/>
      <c r="K1075" s="39"/>
      <c r="L1075" s="41">
        <f>SUM(AT910:AT1066)</f>
        <v>0</v>
      </c>
    </row>
    <row r="1076" spans="1:12" ht="14.25" hidden="1" x14ac:dyDescent="0.2">
      <c r="A1076" s="52"/>
      <c r="B1076" s="58"/>
      <c r="C1076" s="115" t="s">
        <v>887</v>
      </c>
      <c r="D1076" s="115"/>
      <c r="E1076" s="115"/>
      <c r="F1076" s="115"/>
      <c r="G1076" s="115"/>
      <c r="H1076" s="115"/>
      <c r="I1076" s="41"/>
      <c r="J1076" s="52"/>
      <c r="K1076" s="39"/>
      <c r="L1076" s="41">
        <f>SUM(AV910:AV1066)</f>
        <v>0</v>
      </c>
    </row>
    <row r="1077" spans="1:12" ht="14.25" hidden="1" x14ac:dyDescent="0.2">
      <c r="A1077" s="52"/>
      <c r="B1077" s="58"/>
      <c r="C1077" s="115" t="s">
        <v>888</v>
      </c>
      <c r="D1077" s="115"/>
      <c r="E1077" s="115"/>
      <c r="F1077" s="115"/>
      <c r="G1077" s="115"/>
      <c r="H1077" s="115"/>
      <c r="I1077" s="41"/>
      <c r="J1077" s="52"/>
      <c r="K1077" s="39"/>
      <c r="L1077" s="41">
        <f>L1079+L1080</f>
        <v>0</v>
      </c>
    </row>
    <row r="1078" spans="1:12" ht="14.25" hidden="1" x14ac:dyDescent="0.2">
      <c r="A1078" s="52"/>
      <c r="B1078" s="58"/>
      <c r="C1078" s="116" t="s">
        <v>885</v>
      </c>
      <c r="D1078" s="115"/>
      <c r="E1078" s="115"/>
      <c r="F1078" s="115"/>
      <c r="G1078" s="115"/>
      <c r="H1078" s="115"/>
      <c r="I1078" s="41"/>
      <c r="J1078" s="52"/>
      <c r="K1078" s="39"/>
      <c r="L1078" s="41"/>
    </row>
    <row r="1079" spans="1:12" ht="14.25" hidden="1" x14ac:dyDescent="0.2">
      <c r="A1079" s="52"/>
      <c r="B1079" s="58"/>
      <c r="C1079" s="115" t="s">
        <v>889</v>
      </c>
      <c r="D1079" s="115"/>
      <c r="E1079" s="115"/>
      <c r="F1079" s="115"/>
      <c r="G1079" s="115"/>
      <c r="H1079" s="115"/>
      <c r="I1079" s="41"/>
      <c r="J1079" s="52"/>
      <c r="K1079" s="39"/>
      <c r="L1079" s="41">
        <f>SUM(AW910:AW1066)-SUM(BK910:BK1066)</f>
        <v>0</v>
      </c>
    </row>
    <row r="1080" spans="1:12" ht="14.25" hidden="1" x14ac:dyDescent="0.2">
      <c r="A1080" s="52"/>
      <c r="B1080" s="58"/>
      <c r="C1080" s="115" t="s">
        <v>890</v>
      </c>
      <c r="D1080" s="115"/>
      <c r="E1080" s="115"/>
      <c r="F1080" s="115"/>
      <c r="G1080" s="115"/>
      <c r="H1080" s="115"/>
      <c r="I1080" s="41"/>
      <c r="J1080" s="52"/>
      <c r="K1080" s="39"/>
      <c r="L1080" s="41">
        <f>SUM(BC910:BC1066)</f>
        <v>0</v>
      </c>
    </row>
    <row r="1081" spans="1:12" ht="14.25" hidden="1" x14ac:dyDescent="0.2">
      <c r="A1081" s="52"/>
      <c r="B1081" s="58"/>
      <c r="C1081" s="115" t="s">
        <v>891</v>
      </c>
      <c r="D1081" s="115"/>
      <c r="E1081" s="115"/>
      <c r="F1081" s="115"/>
      <c r="G1081" s="115"/>
      <c r="H1081" s="115"/>
      <c r="I1081" s="41"/>
      <c r="J1081" s="52"/>
      <c r="K1081" s="39"/>
      <c r="L1081" s="41">
        <f>SUM(BB910:BB1066)</f>
        <v>0</v>
      </c>
    </row>
    <row r="1082" spans="1:12" ht="14.25" x14ac:dyDescent="0.2">
      <c r="A1082" s="52"/>
      <c r="B1082" s="58"/>
      <c r="C1082" s="115" t="s">
        <v>892</v>
      </c>
      <c r="D1082" s="115"/>
      <c r="E1082" s="115"/>
      <c r="F1082" s="115"/>
      <c r="G1082" s="115"/>
      <c r="H1082" s="115"/>
      <c r="I1082" s="41"/>
      <c r="J1082" s="52"/>
      <c r="K1082" s="39"/>
      <c r="L1082" s="41">
        <f>SUM(AR910:AR1066)+SUM(AT910:AT1066)+SUM(AV910:AV1066)</f>
        <v>102056.87000000002</v>
      </c>
    </row>
    <row r="1083" spans="1:12" ht="14.25" x14ac:dyDescent="0.2">
      <c r="A1083" s="52"/>
      <c r="B1083" s="58"/>
      <c r="C1083" s="115" t="s">
        <v>893</v>
      </c>
      <c r="D1083" s="115"/>
      <c r="E1083" s="115"/>
      <c r="F1083" s="115"/>
      <c r="G1083" s="115"/>
      <c r="H1083" s="115"/>
      <c r="I1083" s="41"/>
      <c r="J1083" s="52"/>
      <c r="K1083" s="39"/>
      <c r="L1083" s="41">
        <f>SUM(AZ910:AZ1066)</f>
        <v>75522.09</v>
      </c>
    </row>
    <row r="1084" spans="1:12" ht="14.25" x14ac:dyDescent="0.2">
      <c r="A1084" s="52"/>
      <c r="B1084" s="58"/>
      <c r="C1084" s="115" t="s">
        <v>894</v>
      </c>
      <c r="D1084" s="115"/>
      <c r="E1084" s="115"/>
      <c r="F1084" s="115"/>
      <c r="G1084" s="115"/>
      <c r="H1084" s="115"/>
      <c r="I1084" s="41"/>
      <c r="J1084" s="52"/>
      <c r="K1084" s="39"/>
      <c r="L1084" s="41">
        <f>SUM(BA910:BA1066)</f>
        <v>36740.479999999996</v>
      </c>
    </row>
    <row r="1085" spans="1:12" ht="14.25" hidden="1" x14ac:dyDescent="0.2">
      <c r="A1085" s="52"/>
      <c r="B1085" s="58"/>
      <c r="C1085" s="115" t="s">
        <v>895</v>
      </c>
      <c r="D1085" s="115"/>
      <c r="E1085" s="115"/>
      <c r="F1085" s="115"/>
      <c r="G1085" s="115"/>
      <c r="H1085" s="115"/>
      <c r="I1085" s="41"/>
      <c r="J1085" s="52"/>
      <c r="K1085" s="39"/>
      <c r="L1085" s="41">
        <f>L1087+L1088</f>
        <v>0</v>
      </c>
    </row>
    <row r="1086" spans="1:12" ht="14.25" hidden="1" x14ac:dyDescent="0.2">
      <c r="A1086" s="52"/>
      <c r="B1086" s="58"/>
      <c r="C1086" s="116" t="s">
        <v>882</v>
      </c>
      <c r="D1086" s="115"/>
      <c r="E1086" s="115"/>
      <c r="F1086" s="115"/>
      <c r="G1086" s="115"/>
      <c r="H1086" s="115"/>
      <c r="I1086" s="41"/>
      <c r="J1086" s="52"/>
      <c r="K1086" s="39"/>
      <c r="L1086" s="41"/>
    </row>
    <row r="1087" spans="1:12" ht="14.25" hidden="1" x14ac:dyDescent="0.2">
      <c r="A1087" s="52"/>
      <c r="B1087" s="58"/>
      <c r="C1087" s="115" t="s">
        <v>896</v>
      </c>
      <c r="D1087" s="115"/>
      <c r="E1087" s="115"/>
      <c r="F1087" s="115"/>
      <c r="G1087" s="115"/>
      <c r="H1087" s="115"/>
      <c r="I1087" s="41"/>
      <c r="J1087" s="52"/>
      <c r="K1087" s="39"/>
      <c r="L1087" s="41">
        <f>SUM(BK910:BK1066)</f>
        <v>0</v>
      </c>
    </row>
    <row r="1088" spans="1:12" ht="14.25" hidden="1" x14ac:dyDescent="0.2">
      <c r="A1088" s="52"/>
      <c r="B1088" s="58"/>
      <c r="C1088" s="115" t="s">
        <v>897</v>
      </c>
      <c r="D1088" s="115"/>
      <c r="E1088" s="115"/>
      <c r="F1088" s="115"/>
      <c r="G1088" s="115"/>
      <c r="H1088" s="115"/>
      <c r="I1088" s="41"/>
      <c r="J1088" s="52"/>
      <c r="K1088" s="39"/>
      <c r="L1088" s="41">
        <f>SUM(BD910:BD1066)</f>
        <v>0</v>
      </c>
    </row>
    <row r="1089" spans="1:12" ht="14.25" hidden="1" x14ac:dyDescent="0.2">
      <c r="A1089" s="52"/>
      <c r="B1089" s="58"/>
      <c r="C1089" s="115" t="s">
        <v>898</v>
      </c>
      <c r="D1089" s="115"/>
      <c r="E1089" s="115"/>
      <c r="F1089" s="115"/>
      <c r="G1089" s="115"/>
      <c r="H1089" s="115"/>
      <c r="I1089" s="41"/>
      <c r="J1089" s="52"/>
      <c r="K1089" s="39"/>
      <c r="L1089" s="41"/>
    </row>
    <row r="1090" spans="1:12" ht="14.25" hidden="1" x14ac:dyDescent="0.2">
      <c r="A1090" s="52"/>
      <c r="B1090" s="58"/>
      <c r="C1090" s="115" t="s">
        <v>899</v>
      </c>
      <c r="D1090" s="115"/>
      <c r="E1090" s="115"/>
      <c r="F1090" s="115"/>
      <c r="G1090" s="115"/>
      <c r="H1090" s="115"/>
      <c r="I1090" s="41"/>
      <c r="J1090" s="52"/>
      <c r="K1090" s="39"/>
      <c r="L1090" s="41">
        <f>SUM(BO910:BO1066)</f>
        <v>0</v>
      </c>
    </row>
    <row r="1091" spans="1:12" ht="15" x14ac:dyDescent="0.2">
      <c r="A1091" s="59"/>
      <c r="B1091" s="60"/>
      <c r="C1091" s="117" t="s">
        <v>900</v>
      </c>
      <c r="D1091" s="117"/>
      <c r="E1091" s="117"/>
      <c r="F1091" s="117"/>
      <c r="G1091" s="117"/>
      <c r="H1091" s="117"/>
      <c r="I1091" s="44"/>
      <c r="J1091" s="59"/>
      <c r="K1091" s="61"/>
      <c r="L1091" s="44">
        <f>L1068+L1083+L1084+L1085+L1089+L1090</f>
        <v>214319.44</v>
      </c>
    </row>
    <row r="1092" spans="1:12" ht="14.25" x14ac:dyDescent="0.2">
      <c r="A1092" s="52"/>
      <c r="B1092" s="58"/>
      <c r="C1092" s="116" t="s">
        <v>901</v>
      </c>
      <c r="D1092" s="115"/>
      <c r="E1092" s="115"/>
      <c r="F1092" s="115"/>
      <c r="G1092" s="115"/>
      <c r="H1092" s="115"/>
      <c r="I1092" s="41"/>
      <c r="J1092" s="52"/>
      <c r="K1092" s="39"/>
      <c r="L1092" s="41"/>
    </row>
    <row r="1093" spans="1:12" ht="14.25" hidden="1" x14ac:dyDescent="0.2">
      <c r="A1093" s="52"/>
      <c r="B1093" s="58"/>
      <c r="C1093" s="115" t="s">
        <v>902</v>
      </c>
      <c r="D1093" s="115"/>
      <c r="E1093" s="115"/>
      <c r="F1093" s="115"/>
      <c r="G1093" s="115"/>
      <c r="H1093" s="115"/>
      <c r="I1093" s="41"/>
      <c r="J1093" s="52"/>
      <c r="K1093" s="39"/>
      <c r="L1093" s="41">
        <f>SUM(AX910:AX1066)</f>
        <v>0</v>
      </c>
    </row>
    <row r="1094" spans="1:12" ht="14.25" hidden="1" x14ac:dyDescent="0.2">
      <c r="A1094" s="52"/>
      <c r="B1094" s="58"/>
      <c r="C1094" s="115" t="s">
        <v>903</v>
      </c>
      <c r="D1094" s="115"/>
      <c r="E1094" s="115"/>
      <c r="F1094" s="115"/>
      <c r="G1094" s="115"/>
      <c r="H1094" s="115"/>
      <c r="I1094" s="41"/>
      <c r="J1094" s="52"/>
      <c r="K1094" s="39"/>
      <c r="L1094" s="41">
        <f>SUM(AY910:AY1066)</f>
        <v>0</v>
      </c>
    </row>
    <row r="1095" spans="1:12" ht="14.25" x14ac:dyDescent="0.2">
      <c r="A1095" s="52"/>
      <c r="B1095" s="58"/>
      <c r="C1095" s="115" t="s">
        <v>904</v>
      </c>
      <c r="D1095" s="115"/>
      <c r="E1095" s="115"/>
      <c r="F1095" s="118"/>
      <c r="G1095" s="43">
        <f>Source!F330</f>
        <v>162.74680000000001</v>
      </c>
      <c r="H1095" s="52"/>
      <c r="I1095" s="52"/>
      <c r="J1095" s="52"/>
      <c r="K1095" s="52"/>
      <c r="L1095" s="52"/>
    </row>
    <row r="1096" spans="1:12" ht="14.25" hidden="1" customHeight="1" x14ac:dyDescent="0.2">
      <c r="A1096" s="52"/>
      <c r="B1096" s="58"/>
      <c r="C1096" s="115" t="s">
        <v>905</v>
      </c>
      <c r="D1096" s="115"/>
      <c r="E1096" s="115"/>
      <c r="F1096" s="118"/>
      <c r="G1096" s="43">
        <f>Source!F331</f>
        <v>0</v>
      </c>
      <c r="H1096" s="52"/>
      <c r="I1096" s="52"/>
      <c r="J1096" s="52"/>
      <c r="K1096" s="52"/>
      <c r="L1096" s="52"/>
    </row>
    <row r="1098" spans="1:12" hidden="1" x14ac:dyDescent="0.2"/>
    <row r="1099" spans="1:12" ht="15" hidden="1" x14ac:dyDescent="0.2">
      <c r="A1099" s="63"/>
      <c r="B1099" s="64"/>
      <c r="C1099" s="119" t="s">
        <v>950</v>
      </c>
      <c r="D1099" s="119"/>
      <c r="E1099" s="119"/>
      <c r="F1099" s="119"/>
      <c r="G1099" s="119"/>
      <c r="H1099" s="119"/>
      <c r="I1099" s="53"/>
      <c r="J1099" s="63"/>
      <c r="K1099" s="65"/>
      <c r="L1099" s="53"/>
    </row>
    <row r="1100" spans="1:12" hidden="1" x14ac:dyDescent="0.2"/>
    <row r="1101" spans="1:12" ht="15" hidden="1" x14ac:dyDescent="0.2">
      <c r="A1101" s="59"/>
      <c r="B1101" s="60"/>
      <c r="C1101" s="117" t="s">
        <v>951</v>
      </c>
      <c r="D1101" s="117"/>
      <c r="E1101" s="117"/>
      <c r="F1101" s="117"/>
      <c r="G1101" s="117"/>
      <c r="H1101" s="117"/>
      <c r="I1101" s="44"/>
      <c r="J1101" s="59"/>
      <c r="K1101" s="61"/>
      <c r="L1101" s="44">
        <f>L1103+L1118+L1119</f>
        <v>261226.39</v>
      </c>
    </row>
    <row r="1102" spans="1:12" ht="14.25" hidden="1" x14ac:dyDescent="0.2">
      <c r="A1102" s="52"/>
      <c r="B1102" s="58"/>
      <c r="C1102" s="116" t="s">
        <v>882</v>
      </c>
      <c r="D1102" s="115"/>
      <c r="E1102" s="115"/>
      <c r="F1102" s="115"/>
      <c r="G1102" s="115"/>
      <c r="H1102" s="115"/>
      <c r="I1102" s="41"/>
      <c r="J1102" s="52"/>
      <c r="K1102" s="39"/>
      <c r="L1102" s="41"/>
    </row>
    <row r="1103" spans="1:12" ht="14.25" hidden="1" x14ac:dyDescent="0.2">
      <c r="A1103" s="52"/>
      <c r="B1103" s="58"/>
      <c r="C1103" s="115" t="s">
        <v>952</v>
      </c>
      <c r="D1103" s="115"/>
      <c r="E1103" s="115"/>
      <c r="F1103" s="115"/>
      <c r="G1103" s="115"/>
      <c r="H1103" s="115"/>
      <c r="I1103" s="41"/>
      <c r="J1103" s="52"/>
      <c r="K1103" s="39"/>
      <c r="L1103" s="41">
        <f>L1105+L1106+L1112+L1116</f>
        <v>181539.49000000002</v>
      </c>
    </row>
    <row r="1104" spans="1:12" ht="14.25" hidden="1" x14ac:dyDescent="0.2">
      <c r="A1104" s="52"/>
      <c r="B1104" s="58"/>
      <c r="C1104" s="116" t="s">
        <v>882</v>
      </c>
      <c r="D1104" s="115"/>
      <c r="E1104" s="115"/>
      <c r="F1104" s="115"/>
      <c r="G1104" s="115"/>
      <c r="H1104" s="115"/>
      <c r="I1104" s="41"/>
      <c r="J1104" s="52"/>
      <c r="K1104" s="39"/>
      <c r="L1104" s="41"/>
    </row>
    <row r="1105" spans="1:12" ht="14.25" hidden="1" x14ac:dyDescent="0.2">
      <c r="A1105" s="52"/>
      <c r="B1105" s="58"/>
      <c r="C1105" s="115" t="s">
        <v>953</v>
      </c>
      <c r="D1105" s="115"/>
      <c r="E1105" s="115"/>
      <c r="F1105" s="115"/>
      <c r="G1105" s="115"/>
      <c r="H1105" s="115"/>
      <c r="I1105" s="41"/>
      <c r="J1105" s="52"/>
      <c r="K1105" s="39"/>
      <c r="L1105" s="41">
        <f>SUMIF(CD53:CD1097, 1, AR53:AR1097)</f>
        <v>43097.56</v>
      </c>
    </row>
    <row r="1106" spans="1:12" ht="14.25" hidden="1" x14ac:dyDescent="0.2">
      <c r="A1106" s="52"/>
      <c r="B1106" s="58"/>
      <c r="C1106" s="115" t="s">
        <v>884</v>
      </c>
      <c r="D1106" s="115"/>
      <c r="E1106" s="115"/>
      <c r="F1106" s="115"/>
      <c r="G1106" s="115"/>
      <c r="H1106" s="115"/>
      <c r="I1106" s="41"/>
      <c r="J1106" s="52"/>
      <c r="K1106" s="39"/>
      <c r="L1106" s="41">
        <f>L1108+L1111+L1110</f>
        <v>16907.72</v>
      </c>
    </row>
    <row r="1107" spans="1:12" ht="14.25" hidden="1" x14ac:dyDescent="0.2">
      <c r="A1107" s="52"/>
      <c r="B1107" s="58"/>
      <c r="C1107" s="116" t="s">
        <v>885</v>
      </c>
      <c r="D1107" s="115"/>
      <c r="E1107" s="115"/>
      <c r="F1107" s="115"/>
      <c r="G1107" s="115"/>
      <c r="H1107" s="115"/>
      <c r="I1107" s="41"/>
      <c r="J1107" s="52"/>
      <c r="K1107" s="39"/>
      <c r="L1107" s="41"/>
    </row>
    <row r="1108" spans="1:12" ht="14.25" hidden="1" x14ac:dyDescent="0.2">
      <c r="A1108" s="52"/>
      <c r="B1108" s="58"/>
      <c r="C1108" s="115" t="s">
        <v>884</v>
      </c>
      <c r="D1108" s="115"/>
      <c r="E1108" s="115"/>
      <c r="F1108" s="115"/>
      <c r="G1108" s="115"/>
      <c r="H1108" s="115"/>
      <c r="I1108" s="41"/>
      <c r="J1108" s="52"/>
      <c r="K1108" s="39"/>
      <c r="L1108" s="41">
        <f>SUMIF(CD53:CD1097, 1, AO53:AO1097)</f>
        <v>11760.91</v>
      </c>
    </row>
    <row r="1109" spans="1:12" ht="14.25" hidden="1" x14ac:dyDescent="0.2">
      <c r="A1109" s="52"/>
      <c r="B1109" s="58"/>
      <c r="C1109" s="116" t="s">
        <v>886</v>
      </c>
      <c r="D1109" s="115"/>
      <c r="E1109" s="115"/>
      <c r="F1109" s="115"/>
      <c r="G1109" s="115"/>
      <c r="H1109" s="115"/>
      <c r="I1109" s="41"/>
      <c r="J1109" s="52"/>
      <c r="K1109" s="39"/>
      <c r="L1109" s="41"/>
    </row>
    <row r="1110" spans="1:12" ht="14.25" hidden="1" x14ac:dyDescent="0.2">
      <c r="A1110" s="52"/>
      <c r="B1110" s="58"/>
      <c r="C1110" s="115" t="s">
        <v>906</v>
      </c>
      <c r="D1110" s="115"/>
      <c r="E1110" s="115"/>
      <c r="F1110" s="115"/>
      <c r="G1110" s="115"/>
      <c r="H1110" s="115"/>
      <c r="I1110" s="41"/>
      <c r="J1110" s="52"/>
      <c r="K1110" s="39"/>
      <c r="L1110" s="41">
        <f>SUMIF(CD53:CD1097, 1, AT53:AT1097)</f>
        <v>5146.8100000000004</v>
      </c>
    </row>
    <row r="1111" spans="1:12" ht="14.25" hidden="1" x14ac:dyDescent="0.2">
      <c r="A1111" s="52"/>
      <c r="B1111" s="58"/>
      <c r="C1111" s="115" t="s">
        <v>887</v>
      </c>
      <c r="D1111" s="115"/>
      <c r="E1111" s="115"/>
      <c r="F1111" s="115"/>
      <c r="G1111" s="115"/>
      <c r="H1111" s="115"/>
      <c r="I1111" s="41"/>
      <c r="J1111" s="52"/>
      <c r="K1111" s="39"/>
      <c r="L1111" s="41">
        <f>SUMIF(CD53:CD1097, 1, AV53:AV1097)</f>
        <v>0</v>
      </c>
    </row>
    <row r="1112" spans="1:12" ht="14.25" hidden="1" x14ac:dyDescent="0.2">
      <c r="A1112" s="52"/>
      <c r="B1112" s="58"/>
      <c r="C1112" s="115" t="s">
        <v>888</v>
      </c>
      <c r="D1112" s="115"/>
      <c r="E1112" s="115"/>
      <c r="F1112" s="115"/>
      <c r="G1112" s="115"/>
      <c r="H1112" s="115"/>
      <c r="I1112" s="41"/>
      <c r="J1112" s="52"/>
      <c r="K1112" s="39"/>
      <c r="L1112" s="41">
        <f>L1114+L1115</f>
        <v>121534.21000000002</v>
      </c>
    </row>
    <row r="1113" spans="1:12" ht="14.25" hidden="1" x14ac:dyDescent="0.2">
      <c r="A1113" s="52"/>
      <c r="B1113" s="58"/>
      <c r="C1113" s="116" t="s">
        <v>885</v>
      </c>
      <c r="D1113" s="115"/>
      <c r="E1113" s="115"/>
      <c r="F1113" s="115"/>
      <c r="G1113" s="115"/>
      <c r="H1113" s="115"/>
      <c r="I1113" s="41"/>
      <c r="J1113" s="52"/>
      <c r="K1113" s="39"/>
      <c r="L1113" s="41"/>
    </row>
    <row r="1114" spans="1:12" ht="14.25" hidden="1" x14ac:dyDescent="0.2">
      <c r="A1114" s="52"/>
      <c r="B1114" s="58"/>
      <c r="C1114" s="115" t="s">
        <v>889</v>
      </c>
      <c r="D1114" s="115"/>
      <c r="E1114" s="115"/>
      <c r="F1114" s="115"/>
      <c r="G1114" s="115"/>
      <c r="H1114" s="115"/>
      <c r="I1114" s="41"/>
      <c r="J1114" s="52"/>
      <c r="K1114" s="39"/>
      <c r="L1114" s="41">
        <f>SUMIF(CD53:CD1097, 1, AW53:AW1097)-SUMIF(CD53:CD1097, 1, BK53:BK1097)</f>
        <v>121534.21000000002</v>
      </c>
    </row>
    <row r="1115" spans="1:12" ht="14.25" hidden="1" x14ac:dyDescent="0.2">
      <c r="A1115" s="52"/>
      <c r="B1115" s="58"/>
      <c r="C1115" s="115" t="s">
        <v>890</v>
      </c>
      <c r="D1115" s="115"/>
      <c r="E1115" s="115"/>
      <c r="F1115" s="115"/>
      <c r="G1115" s="115"/>
      <c r="H1115" s="115"/>
      <c r="I1115" s="41"/>
      <c r="J1115" s="52"/>
      <c r="K1115" s="39"/>
      <c r="L1115" s="41">
        <f>SUMIF(CD53:CD1097, 1, BC53:BC1097)</f>
        <v>0</v>
      </c>
    </row>
    <row r="1116" spans="1:12" ht="14.25" hidden="1" x14ac:dyDescent="0.2">
      <c r="A1116" s="52"/>
      <c r="B1116" s="58"/>
      <c r="C1116" s="115" t="s">
        <v>891</v>
      </c>
      <c r="D1116" s="115"/>
      <c r="E1116" s="115"/>
      <c r="F1116" s="115"/>
      <c r="G1116" s="115"/>
      <c r="H1116" s="115"/>
      <c r="I1116" s="41"/>
      <c r="J1116" s="52"/>
      <c r="K1116" s="39"/>
      <c r="L1116" s="41">
        <f>SUMIF(CD53:CD1097, 1, BB53:BB1097)</f>
        <v>0</v>
      </c>
    </row>
    <row r="1117" spans="1:12" ht="14.25" hidden="1" x14ac:dyDescent="0.2">
      <c r="A1117" s="52"/>
      <c r="B1117" s="58"/>
      <c r="C1117" s="115" t="s">
        <v>954</v>
      </c>
      <c r="D1117" s="115"/>
      <c r="E1117" s="115"/>
      <c r="F1117" s="115"/>
      <c r="G1117" s="115"/>
      <c r="H1117" s="115"/>
      <c r="I1117" s="41"/>
      <c r="J1117" s="52"/>
      <c r="K1117" s="39"/>
      <c r="L1117" s="41">
        <f>SUMIF(CD53:CD1097, 1, AR53:AR1097)+SUMIF(CD53:CD1097, 1, AT53:AT1097)+SUMIF(CD53:CD1097, 1, AV53:AV1097)</f>
        <v>48244.369999999995</v>
      </c>
    </row>
    <row r="1118" spans="1:12" ht="14.25" hidden="1" x14ac:dyDescent="0.2">
      <c r="A1118" s="52"/>
      <c r="B1118" s="58"/>
      <c r="C1118" s="115" t="s">
        <v>955</v>
      </c>
      <c r="D1118" s="115"/>
      <c r="E1118" s="115"/>
      <c r="F1118" s="115"/>
      <c r="G1118" s="115"/>
      <c r="H1118" s="115"/>
      <c r="I1118" s="41"/>
      <c r="J1118" s="52"/>
      <c r="K1118" s="39"/>
      <c r="L1118" s="41">
        <f>SUMIF(CD53:CD1097, 1, AZ53:AZ1097)</f>
        <v>49750.649999999987</v>
      </c>
    </row>
    <row r="1119" spans="1:12" ht="14.25" hidden="1" x14ac:dyDescent="0.2">
      <c r="A1119" s="52"/>
      <c r="B1119" s="58"/>
      <c r="C1119" s="115" t="s">
        <v>956</v>
      </c>
      <c r="D1119" s="115"/>
      <c r="E1119" s="115"/>
      <c r="F1119" s="115"/>
      <c r="G1119" s="115"/>
      <c r="H1119" s="115"/>
      <c r="I1119" s="41"/>
      <c r="J1119" s="52"/>
      <c r="K1119" s="39"/>
      <c r="L1119" s="41">
        <f>SUMIF(CD53:CD1097, 1, BA53:BA1097)</f>
        <v>29936.250000000004</v>
      </c>
    </row>
    <row r="1120" spans="1:12" hidden="1" x14ac:dyDescent="0.2"/>
    <row r="1121" spans="1:12" ht="15" hidden="1" x14ac:dyDescent="0.2">
      <c r="A1121" s="59"/>
      <c r="B1121" s="60"/>
      <c r="C1121" s="117" t="s">
        <v>957</v>
      </c>
      <c r="D1121" s="117"/>
      <c r="E1121" s="117"/>
      <c r="F1121" s="117"/>
      <c r="G1121" s="117"/>
      <c r="H1121" s="117"/>
      <c r="I1121" s="44"/>
      <c r="J1121" s="59"/>
      <c r="K1121" s="61"/>
      <c r="L1121" s="44">
        <f>L1123+L1138+L1139</f>
        <v>211389.08000000002</v>
      </c>
    </row>
    <row r="1122" spans="1:12" ht="14.25" hidden="1" x14ac:dyDescent="0.2">
      <c r="A1122" s="52"/>
      <c r="B1122" s="58"/>
      <c r="C1122" s="116" t="s">
        <v>882</v>
      </c>
      <c r="D1122" s="115"/>
      <c r="E1122" s="115"/>
      <c r="F1122" s="115"/>
      <c r="G1122" s="115"/>
      <c r="H1122" s="115"/>
      <c r="I1122" s="41"/>
      <c r="J1122" s="52"/>
      <c r="K1122" s="39"/>
      <c r="L1122" s="41"/>
    </row>
    <row r="1123" spans="1:12" ht="14.25" hidden="1" x14ac:dyDescent="0.2">
      <c r="A1123" s="52"/>
      <c r="B1123" s="58"/>
      <c r="C1123" s="115" t="s">
        <v>952</v>
      </c>
      <c r="D1123" s="115"/>
      <c r="E1123" s="115"/>
      <c r="F1123" s="115"/>
      <c r="G1123" s="115"/>
      <c r="H1123" s="115"/>
      <c r="I1123" s="41"/>
      <c r="J1123" s="52"/>
      <c r="K1123" s="39"/>
      <c r="L1123" s="41">
        <f>L1125+L1126+L1132+L1136</f>
        <v>112202.51000000001</v>
      </c>
    </row>
    <row r="1124" spans="1:12" ht="14.25" hidden="1" x14ac:dyDescent="0.2">
      <c r="A1124" s="52"/>
      <c r="B1124" s="58"/>
      <c r="C1124" s="116" t="s">
        <v>882</v>
      </c>
      <c r="D1124" s="115"/>
      <c r="E1124" s="115"/>
      <c r="F1124" s="115"/>
      <c r="G1124" s="115"/>
      <c r="H1124" s="115"/>
      <c r="I1124" s="41"/>
      <c r="J1124" s="52"/>
      <c r="K1124" s="39"/>
      <c r="L1124" s="41"/>
    </row>
    <row r="1125" spans="1:12" ht="14.25" hidden="1" x14ac:dyDescent="0.2">
      <c r="A1125" s="52"/>
      <c r="B1125" s="58"/>
      <c r="C1125" s="115" t="s">
        <v>953</v>
      </c>
      <c r="D1125" s="115"/>
      <c r="E1125" s="115"/>
      <c r="F1125" s="115"/>
      <c r="G1125" s="115"/>
      <c r="H1125" s="115"/>
      <c r="I1125" s="41"/>
      <c r="J1125" s="52"/>
      <c r="K1125" s="39"/>
      <c r="L1125" s="41">
        <f>SUMIF(CD53:CD1119, 2, AR53:AR1119)</f>
        <v>56677.490000000005</v>
      </c>
    </row>
    <row r="1126" spans="1:12" ht="14.25" hidden="1" x14ac:dyDescent="0.2">
      <c r="A1126" s="52"/>
      <c r="B1126" s="58"/>
      <c r="C1126" s="115" t="s">
        <v>884</v>
      </c>
      <c r="D1126" s="115"/>
      <c r="E1126" s="115"/>
      <c r="F1126" s="115"/>
      <c r="G1126" s="115"/>
      <c r="H1126" s="115"/>
      <c r="I1126" s="41"/>
      <c r="J1126" s="52"/>
      <c r="K1126" s="39"/>
      <c r="L1126" s="41">
        <f>L1128+L1131+L1130</f>
        <v>32567.260000000002</v>
      </c>
    </row>
    <row r="1127" spans="1:12" ht="14.25" hidden="1" x14ac:dyDescent="0.2">
      <c r="A1127" s="52"/>
      <c r="B1127" s="58"/>
      <c r="C1127" s="116" t="s">
        <v>885</v>
      </c>
      <c r="D1127" s="115"/>
      <c r="E1127" s="115"/>
      <c r="F1127" s="115"/>
      <c r="G1127" s="115"/>
      <c r="H1127" s="115"/>
      <c r="I1127" s="41"/>
      <c r="J1127" s="52"/>
      <c r="K1127" s="39"/>
      <c r="L1127" s="41"/>
    </row>
    <row r="1128" spans="1:12" ht="14.25" hidden="1" x14ac:dyDescent="0.2">
      <c r="A1128" s="52"/>
      <c r="B1128" s="58"/>
      <c r="C1128" s="115" t="s">
        <v>884</v>
      </c>
      <c r="D1128" s="115"/>
      <c r="E1128" s="115"/>
      <c r="F1128" s="115"/>
      <c r="G1128" s="115"/>
      <c r="H1128" s="115"/>
      <c r="I1128" s="41"/>
      <c r="J1128" s="52"/>
      <c r="K1128" s="39"/>
      <c r="L1128" s="41">
        <f>SUMIF(CD53:CD1119, 2, AO53:AO1119)</f>
        <v>22226.78</v>
      </c>
    </row>
    <row r="1129" spans="1:12" ht="14.25" hidden="1" x14ac:dyDescent="0.2">
      <c r="A1129" s="52"/>
      <c r="B1129" s="58"/>
      <c r="C1129" s="116" t="s">
        <v>886</v>
      </c>
      <c r="D1129" s="115"/>
      <c r="E1129" s="115"/>
      <c r="F1129" s="115"/>
      <c r="G1129" s="115"/>
      <c r="H1129" s="115"/>
      <c r="I1129" s="41"/>
      <c r="J1129" s="52"/>
      <c r="K1129" s="39"/>
      <c r="L1129" s="41"/>
    </row>
    <row r="1130" spans="1:12" ht="14.25" hidden="1" x14ac:dyDescent="0.2">
      <c r="A1130" s="52"/>
      <c r="B1130" s="58"/>
      <c r="C1130" s="115" t="s">
        <v>906</v>
      </c>
      <c r="D1130" s="115"/>
      <c r="E1130" s="115"/>
      <c r="F1130" s="115"/>
      <c r="G1130" s="115"/>
      <c r="H1130" s="115"/>
      <c r="I1130" s="41"/>
      <c r="J1130" s="52"/>
      <c r="K1130" s="39"/>
      <c r="L1130" s="41">
        <f>SUMIF(CD53:CD1119, 2, AT53:AT1119)</f>
        <v>10340.480000000003</v>
      </c>
    </row>
    <row r="1131" spans="1:12" ht="14.25" hidden="1" x14ac:dyDescent="0.2">
      <c r="A1131" s="52"/>
      <c r="B1131" s="58"/>
      <c r="C1131" s="115" t="s">
        <v>887</v>
      </c>
      <c r="D1131" s="115"/>
      <c r="E1131" s="115"/>
      <c r="F1131" s="115"/>
      <c r="G1131" s="115"/>
      <c r="H1131" s="115"/>
      <c r="I1131" s="41"/>
      <c r="J1131" s="52"/>
      <c r="K1131" s="39"/>
      <c r="L1131" s="41">
        <f>SUMIF(CD53:CD1119, 2, AV53:AV1119)</f>
        <v>0</v>
      </c>
    </row>
    <row r="1132" spans="1:12" ht="14.25" hidden="1" x14ac:dyDescent="0.2">
      <c r="A1132" s="52"/>
      <c r="B1132" s="58"/>
      <c r="C1132" s="115" t="s">
        <v>888</v>
      </c>
      <c r="D1132" s="115"/>
      <c r="E1132" s="115"/>
      <c r="F1132" s="115"/>
      <c r="G1132" s="115"/>
      <c r="H1132" s="115"/>
      <c r="I1132" s="41"/>
      <c r="J1132" s="52"/>
      <c r="K1132" s="39"/>
      <c r="L1132" s="41">
        <f>L1134+L1135</f>
        <v>22957.760000000002</v>
      </c>
    </row>
    <row r="1133" spans="1:12" ht="14.25" hidden="1" x14ac:dyDescent="0.2">
      <c r="A1133" s="52"/>
      <c r="B1133" s="58"/>
      <c r="C1133" s="116" t="s">
        <v>885</v>
      </c>
      <c r="D1133" s="115"/>
      <c r="E1133" s="115"/>
      <c r="F1133" s="115"/>
      <c r="G1133" s="115"/>
      <c r="H1133" s="115"/>
      <c r="I1133" s="41"/>
      <c r="J1133" s="52"/>
      <c r="K1133" s="39"/>
      <c r="L1133" s="41"/>
    </row>
    <row r="1134" spans="1:12" ht="14.25" hidden="1" x14ac:dyDescent="0.2">
      <c r="A1134" s="52"/>
      <c r="B1134" s="58"/>
      <c r="C1134" s="115" t="s">
        <v>889</v>
      </c>
      <c r="D1134" s="115"/>
      <c r="E1134" s="115"/>
      <c r="F1134" s="115"/>
      <c r="G1134" s="115"/>
      <c r="H1134" s="115"/>
      <c r="I1134" s="41"/>
      <c r="J1134" s="52"/>
      <c r="K1134" s="39"/>
      <c r="L1134" s="41">
        <f>SUMIF(CD53:CD1119, 2, AW53:AW1119)-SUMIF(CD53:CD1119, 2, BK53:BK1119)</f>
        <v>22957.760000000002</v>
      </c>
    </row>
    <row r="1135" spans="1:12" ht="14.25" hidden="1" x14ac:dyDescent="0.2">
      <c r="A1135" s="52"/>
      <c r="B1135" s="58"/>
      <c r="C1135" s="115" t="s">
        <v>890</v>
      </c>
      <c r="D1135" s="115"/>
      <c r="E1135" s="115"/>
      <c r="F1135" s="115"/>
      <c r="G1135" s="115"/>
      <c r="H1135" s="115"/>
      <c r="I1135" s="41"/>
      <c r="J1135" s="52"/>
      <c r="K1135" s="39"/>
      <c r="L1135" s="41">
        <f>SUMIF(CD53:CD1119, 2, BC53:BC1119)</f>
        <v>0</v>
      </c>
    </row>
    <row r="1136" spans="1:12" ht="14.25" hidden="1" x14ac:dyDescent="0.2">
      <c r="A1136" s="52"/>
      <c r="B1136" s="58"/>
      <c r="C1136" s="115" t="s">
        <v>891</v>
      </c>
      <c r="D1136" s="115"/>
      <c r="E1136" s="115"/>
      <c r="F1136" s="115"/>
      <c r="G1136" s="115"/>
      <c r="H1136" s="115"/>
      <c r="I1136" s="41"/>
      <c r="J1136" s="52"/>
      <c r="K1136" s="39"/>
      <c r="L1136" s="41">
        <f>SUMIF(CD53:CD1119, 2, BB53:BB1119)</f>
        <v>0</v>
      </c>
    </row>
    <row r="1137" spans="1:12" ht="14.25" hidden="1" x14ac:dyDescent="0.2">
      <c r="A1137" s="52"/>
      <c r="B1137" s="58"/>
      <c r="C1137" s="115" t="s">
        <v>954</v>
      </c>
      <c r="D1137" s="115"/>
      <c r="E1137" s="115"/>
      <c r="F1137" s="115"/>
      <c r="G1137" s="115"/>
      <c r="H1137" s="115"/>
      <c r="I1137" s="41"/>
      <c r="J1137" s="52"/>
      <c r="K1137" s="39"/>
      <c r="L1137" s="41">
        <f>SUMIF(CD53:CD1119, 2, AR53:AR1119)+SUMIF(CD53:CD1119, 2, AT53:AT1119)+SUMIF(CD53:CD1119, 2, AV53:AV1119)</f>
        <v>67017.97</v>
      </c>
    </row>
    <row r="1138" spans="1:12" ht="14.25" hidden="1" x14ac:dyDescent="0.2">
      <c r="A1138" s="52"/>
      <c r="B1138" s="58"/>
      <c r="C1138" s="115" t="s">
        <v>955</v>
      </c>
      <c r="D1138" s="115"/>
      <c r="E1138" s="115"/>
      <c r="F1138" s="115"/>
      <c r="G1138" s="115"/>
      <c r="H1138" s="115"/>
      <c r="I1138" s="41"/>
      <c r="J1138" s="52"/>
      <c r="K1138" s="39"/>
      <c r="L1138" s="41">
        <f>SUMIF(CD53:CD1119, 2, AZ53:AZ1119)</f>
        <v>65007.4</v>
      </c>
    </row>
    <row r="1139" spans="1:12" ht="14.25" hidden="1" x14ac:dyDescent="0.2">
      <c r="A1139" s="52"/>
      <c r="B1139" s="58"/>
      <c r="C1139" s="115" t="s">
        <v>956</v>
      </c>
      <c r="D1139" s="115"/>
      <c r="E1139" s="115"/>
      <c r="F1139" s="115"/>
      <c r="G1139" s="115"/>
      <c r="H1139" s="115"/>
      <c r="I1139" s="41"/>
      <c r="J1139" s="52"/>
      <c r="K1139" s="39"/>
      <c r="L1139" s="41">
        <f>SUMIF(CD53:CD1119, 2, BA53:BA1119)</f>
        <v>34179.170000000006</v>
      </c>
    </row>
    <row r="1140" spans="1:12" hidden="1" x14ac:dyDescent="0.2"/>
    <row r="1141" spans="1:12" ht="15" hidden="1" x14ac:dyDescent="0.2">
      <c r="A1141" s="59"/>
      <c r="B1141" s="60"/>
      <c r="C1141" s="117" t="s">
        <v>958</v>
      </c>
      <c r="D1141" s="117"/>
      <c r="E1141" s="117"/>
      <c r="F1141" s="117"/>
      <c r="G1141" s="117"/>
      <c r="H1141" s="117"/>
      <c r="I1141" s="44"/>
      <c r="J1141" s="59"/>
      <c r="K1141" s="61"/>
      <c r="L1141" s="44">
        <f>L1143+L1144</f>
        <v>0</v>
      </c>
    </row>
    <row r="1142" spans="1:12" ht="14.25" hidden="1" x14ac:dyDescent="0.2">
      <c r="A1142" s="52"/>
      <c r="B1142" s="58"/>
      <c r="C1142" s="116" t="s">
        <v>882</v>
      </c>
      <c r="D1142" s="115"/>
      <c r="E1142" s="115"/>
      <c r="F1142" s="115"/>
      <c r="G1142" s="115"/>
      <c r="H1142" s="115"/>
      <c r="I1142" s="41"/>
      <c r="J1142" s="52"/>
      <c r="K1142" s="39"/>
      <c r="L1142" s="41"/>
    </row>
    <row r="1143" spans="1:12" ht="14.25" hidden="1" x14ac:dyDescent="0.2">
      <c r="A1143" s="52"/>
      <c r="B1143" s="58"/>
      <c r="C1143" s="115" t="s">
        <v>896</v>
      </c>
      <c r="D1143" s="115"/>
      <c r="E1143" s="115"/>
      <c r="F1143" s="115"/>
      <c r="G1143" s="115"/>
      <c r="H1143" s="115"/>
      <c r="I1143" s="41"/>
      <c r="J1143" s="52"/>
      <c r="K1143" s="39"/>
      <c r="L1143" s="41">
        <f>SUMIF(CD53:CD1139, 3, BK53:BK1139)</f>
        <v>0</v>
      </c>
    </row>
    <row r="1144" spans="1:12" ht="14.25" hidden="1" x14ac:dyDescent="0.2">
      <c r="A1144" s="52"/>
      <c r="B1144" s="58"/>
      <c r="C1144" s="115" t="s">
        <v>897</v>
      </c>
      <c r="D1144" s="115"/>
      <c r="E1144" s="115"/>
      <c r="F1144" s="115"/>
      <c r="G1144" s="115"/>
      <c r="H1144" s="115"/>
      <c r="I1144" s="41"/>
      <c r="J1144" s="52"/>
      <c r="K1144" s="39"/>
      <c r="L1144" s="41">
        <f>SUMIF(CD53:CD1139, 3, BD53:BD1139)</f>
        <v>0</v>
      </c>
    </row>
    <row r="1145" spans="1:12" hidden="1" x14ac:dyDescent="0.2"/>
    <row r="1146" spans="1:12" ht="15" hidden="1" x14ac:dyDescent="0.2">
      <c r="A1146" s="59"/>
      <c r="B1146" s="60"/>
      <c r="C1146" s="117" t="s">
        <v>959</v>
      </c>
      <c r="D1146" s="117"/>
      <c r="E1146" s="117"/>
      <c r="F1146" s="117"/>
      <c r="G1146" s="117"/>
      <c r="H1146" s="117"/>
      <c r="I1146" s="44"/>
      <c r="J1146" s="59"/>
      <c r="K1146" s="61"/>
      <c r="L1146" s="44">
        <f>L1152+L1167+L1168+L1148+L1149</f>
        <v>214319.44</v>
      </c>
    </row>
    <row r="1147" spans="1:12" ht="14.25" hidden="1" x14ac:dyDescent="0.2">
      <c r="A1147" s="52"/>
      <c r="B1147" s="58"/>
      <c r="C1147" s="116" t="s">
        <v>882</v>
      </c>
      <c r="D1147" s="115"/>
      <c r="E1147" s="115"/>
      <c r="F1147" s="115"/>
      <c r="G1147" s="115"/>
      <c r="H1147" s="115"/>
      <c r="I1147" s="41"/>
      <c r="J1147" s="52"/>
      <c r="K1147" s="39"/>
      <c r="L1147" s="41"/>
    </row>
    <row r="1148" spans="1:12" ht="14.25" hidden="1" x14ac:dyDescent="0.2">
      <c r="A1148" s="52"/>
      <c r="B1148" s="58"/>
      <c r="C1148" s="115" t="s">
        <v>960</v>
      </c>
      <c r="D1148" s="115"/>
      <c r="E1148" s="115"/>
      <c r="F1148" s="115"/>
      <c r="G1148" s="115"/>
      <c r="H1148" s="115"/>
      <c r="I1148" s="41"/>
      <c r="J1148" s="52"/>
      <c r="K1148" s="39"/>
      <c r="L1148" s="41"/>
    </row>
    <row r="1149" spans="1:12" ht="14.25" hidden="1" x14ac:dyDescent="0.2">
      <c r="A1149" s="52"/>
      <c r="B1149" s="58"/>
      <c r="C1149" s="115" t="s">
        <v>961</v>
      </c>
      <c r="D1149" s="115"/>
      <c r="E1149" s="115"/>
      <c r="F1149" s="115"/>
      <c r="G1149" s="115"/>
      <c r="H1149" s="115"/>
      <c r="I1149" s="41"/>
      <c r="J1149" s="52"/>
      <c r="K1149" s="39"/>
      <c r="L1149" s="41">
        <f>SUM(BO53:BO1144)</f>
        <v>0</v>
      </c>
    </row>
    <row r="1150" spans="1:12" ht="14.25" hidden="1" x14ac:dyDescent="0.2">
      <c r="A1150" s="52"/>
      <c r="B1150" s="58"/>
      <c r="C1150" s="115" t="s">
        <v>347</v>
      </c>
      <c r="D1150" s="115"/>
      <c r="E1150" s="115"/>
      <c r="F1150" s="115"/>
      <c r="G1150" s="115"/>
      <c r="H1150" s="115"/>
      <c r="I1150" s="41"/>
      <c r="J1150" s="52"/>
      <c r="K1150" s="39"/>
      <c r="L1150" s="41">
        <f>L1152+L1167+L1168</f>
        <v>214319.44</v>
      </c>
    </row>
    <row r="1151" spans="1:12" ht="14.25" hidden="1" x14ac:dyDescent="0.2">
      <c r="A1151" s="52"/>
      <c r="B1151" s="58"/>
      <c r="C1151" s="116" t="s">
        <v>882</v>
      </c>
      <c r="D1151" s="115"/>
      <c r="E1151" s="115"/>
      <c r="F1151" s="115"/>
      <c r="G1151" s="115"/>
      <c r="H1151" s="115"/>
      <c r="I1151" s="41"/>
      <c r="J1151" s="52"/>
      <c r="K1151" s="39"/>
      <c r="L1151" s="41"/>
    </row>
    <row r="1152" spans="1:12" ht="14.25" hidden="1" x14ac:dyDescent="0.2">
      <c r="A1152" s="52"/>
      <c r="B1152" s="58"/>
      <c r="C1152" s="115" t="s">
        <v>952</v>
      </c>
      <c r="D1152" s="115"/>
      <c r="E1152" s="115"/>
      <c r="F1152" s="115"/>
      <c r="G1152" s="115"/>
      <c r="H1152" s="115"/>
      <c r="I1152" s="41"/>
      <c r="J1152" s="52"/>
      <c r="K1152" s="39"/>
      <c r="L1152" s="41">
        <f>L1154+L1155+L1161+L1165</f>
        <v>102056.87000000002</v>
      </c>
    </row>
    <row r="1153" spans="1:12" ht="14.25" hidden="1" x14ac:dyDescent="0.2">
      <c r="A1153" s="52"/>
      <c r="B1153" s="58"/>
      <c r="C1153" s="116" t="s">
        <v>882</v>
      </c>
      <c r="D1153" s="115"/>
      <c r="E1153" s="115"/>
      <c r="F1153" s="115"/>
      <c r="G1153" s="115"/>
      <c r="H1153" s="115"/>
      <c r="I1153" s="41"/>
      <c r="J1153" s="52"/>
      <c r="K1153" s="39"/>
      <c r="L1153" s="41"/>
    </row>
    <row r="1154" spans="1:12" ht="14.25" hidden="1" x14ac:dyDescent="0.2">
      <c r="A1154" s="52"/>
      <c r="B1154" s="58"/>
      <c r="C1154" s="115" t="s">
        <v>953</v>
      </c>
      <c r="D1154" s="115"/>
      <c r="E1154" s="115"/>
      <c r="F1154" s="115"/>
      <c r="G1154" s="115"/>
      <c r="H1154" s="115"/>
      <c r="I1154" s="41"/>
      <c r="J1154" s="52"/>
      <c r="K1154" s="39"/>
      <c r="L1154" s="41">
        <f>SUMIF(CD53:CD1144, 4, AR53:AR1144)</f>
        <v>102056.87000000002</v>
      </c>
    </row>
    <row r="1155" spans="1:12" ht="14.25" hidden="1" x14ac:dyDescent="0.2">
      <c r="A1155" s="52"/>
      <c r="B1155" s="58"/>
      <c r="C1155" s="115" t="s">
        <v>884</v>
      </c>
      <c r="D1155" s="115"/>
      <c r="E1155" s="115"/>
      <c r="F1155" s="115"/>
      <c r="G1155" s="115"/>
      <c r="H1155" s="115"/>
      <c r="I1155" s="41"/>
      <c r="J1155" s="52"/>
      <c r="K1155" s="39"/>
      <c r="L1155" s="41">
        <f>L1157+L1160+L1159</f>
        <v>0</v>
      </c>
    </row>
    <row r="1156" spans="1:12" ht="14.25" hidden="1" x14ac:dyDescent="0.2">
      <c r="A1156" s="52"/>
      <c r="B1156" s="58"/>
      <c r="C1156" s="116" t="s">
        <v>885</v>
      </c>
      <c r="D1156" s="115"/>
      <c r="E1156" s="115"/>
      <c r="F1156" s="115"/>
      <c r="G1156" s="115"/>
      <c r="H1156" s="115"/>
      <c r="I1156" s="41"/>
      <c r="J1156" s="52"/>
      <c r="K1156" s="39"/>
      <c r="L1156" s="41"/>
    </row>
    <row r="1157" spans="1:12" ht="14.25" hidden="1" x14ac:dyDescent="0.2">
      <c r="A1157" s="52"/>
      <c r="B1157" s="58"/>
      <c r="C1157" s="115" t="s">
        <v>884</v>
      </c>
      <c r="D1157" s="115"/>
      <c r="E1157" s="115"/>
      <c r="F1157" s="115"/>
      <c r="G1157" s="115"/>
      <c r="H1157" s="115"/>
      <c r="I1157" s="41"/>
      <c r="J1157" s="52"/>
      <c r="K1157" s="39"/>
      <c r="L1157" s="41">
        <f>SUMIF(CD53:CD1144, 4, AO53:AO1144)</f>
        <v>0</v>
      </c>
    </row>
    <row r="1158" spans="1:12" ht="14.25" hidden="1" x14ac:dyDescent="0.2">
      <c r="A1158" s="52"/>
      <c r="B1158" s="58"/>
      <c r="C1158" s="116" t="s">
        <v>886</v>
      </c>
      <c r="D1158" s="115"/>
      <c r="E1158" s="115"/>
      <c r="F1158" s="115"/>
      <c r="G1158" s="115"/>
      <c r="H1158" s="115"/>
      <c r="I1158" s="41"/>
      <c r="J1158" s="52"/>
      <c r="K1158" s="39"/>
      <c r="L1158" s="41"/>
    </row>
    <row r="1159" spans="1:12" ht="14.25" hidden="1" x14ac:dyDescent="0.2">
      <c r="A1159" s="52"/>
      <c r="B1159" s="58"/>
      <c r="C1159" s="115" t="s">
        <v>906</v>
      </c>
      <c r="D1159" s="115"/>
      <c r="E1159" s="115"/>
      <c r="F1159" s="115"/>
      <c r="G1159" s="115"/>
      <c r="H1159" s="115"/>
      <c r="I1159" s="41"/>
      <c r="J1159" s="52"/>
      <c r="K1159" s="39"/>
      <c r="L1159" s="41">
        <f>SUMIF(CD53:CD1144, 4, AT53:AT1144)</f>
        <v>0</v>
      </c>
    </row>
    <row r="1160" spans="1:12" ht="14.25" hidden="1" x14ac:dyDescent="0.2">
      <c r="A1160" s="52"/>
      <c r="B1160" s="58"/>
      <c r="C1160" s="115" t="s">
        <v>887</v>
      </c>
      <c r="D1160" s="115"/>
      <c r="E1160" s="115"/>
      <c r="F1160" s="115"/>
      <c r="G1160" s="115"/>
      <c r="H1160" s="115"/>
      <c r="I1160" s="41"/>
      <c r="J1160" s="52"/>
      <c r="K1160" s="39"/>
      <c r="L1160" s="41">
        <f>SUMIF(CD53:CD1144, 4, AV53:AV1144)</f>
        <v>0</v>
      </c>
    </row>
    <row r="1161" spans="1:12" ht="14.25" hidden="1" x14ac:dyDescent="0.2">
      <c r="A1161" s="52"/>
      <c r="B1161" s="58"/>
      <c r="C1161" s="115" t="s">
        <v>888</v>
      </c>
      <c r="D1161" s="115"/>
      <c r="E1161" s="115"/>
      <c r="F1161" s="115"/>
      <c r="G1161" s="115"/>
      <c r="H1161" s="115"/>
      <c r="I1161" s="41"/>
      <c r="J1161" s="52"/>
      <c r="K1161" s="39"/>
      <c r="L1161" s="41">
        <f>L1163+L1164</f>
        <v>0</v>
      </c>
    </row>
    <row r="1162" spans="1:12" ht="14.25" hidden="1" x14ac:dyDescent="0.2">
      <c r="A1162" s="52"/>
      <c r="B1162" s="58"/>
      <c r="C1162" s="116" t="s">
        <v>885</v>
      </c>
      <c r="D1162" s="115"/>
      <c r="E1162" s="115"/>
      <c r="F1162" s="115"/>
      <c r="G1162" s="115"/>
      <c r="H1162" s="115"/>
      <c r="I1162" s="41"/>
      <c r="J1162" s="52"/>
      <c r="K1162" s="39"/>
      <c r="L1162" s="41"/>
    </row>
    <row r="1163" spans="1:12" ht="14.25" hidden="1" x14ac:dyDescent="0.2">
      <c r="A1163" s="52"/>
      <c r="B1163" s="58"/>
      <c r="C1163" s="115" t="s">
        <v>889</v>
      </c>
      <c r="D1163" s="115"/>
      <c r="E1163" s="115"/>
      <c r="F1163" s="115"/>
      <c r="G1163" s="115"/>
      <c r="H1163" s="115"/>
      <c r="I1163" s="41"/>
      <c r="J1163" s="52"/>
      <c r="K1163" s="39"/>
      <c r="L1163" s="41">
        <f>SUMIF(CD53:CD1144, 4, AW53:AW1144)-SUMIF(CD53:CD1144, 4, BK53:BK1144)</f>
        <v>0</v>
      </c>
    </row>
    <row r="1164" spans="1:12" ht="14.25" hidden="1" x14ac:dyDescent="0.2">
      <c r="A1164" s="52"/>
      <c r="B1164" s="58"/>
      <c r="C1164" s="115" t="s">
        <v>890</v>
      </c>
      <c r="D1164" s="115"/>
      <c r="E1164" s="115"/>
      <c r="F1164" s="115"/>
      <c r="G1164" s="115"/>
      <c r="H1164" s="115"/>
      <c r="I1164" s="41"/>
      <c r="J1164" s="52"/>
      <c r="K1164" s="39"/>
      <c r="L1164" s="41">
        <f>SUMIF(CD53:CD1144, 4, BC53:BC1144)</f>
        <v>0</v>
      </c>
    </row>
    <row r="1165" spans="1:12" ht="14.25" hidden="1" x14ac:dyDescent="0.2">
      <c r="A1165" s="52"/>
      <c r="B1165" s="58"/>
      <c r="C1165" s="115" t="s">
        <v>891</v>
      </c>
      <c r="D1165" s="115"/>
      <c r="E1165" s="115"/>
      <c r="F1165" s="115"/>
      <c r="G1165" s="115"/>
      <c r="H1165" s="115"/>
      <c r="I1165" s="41"/>
      <c r="J1165" s="52"/>
      <c r="K1165" s="39"/>
      <c r="L1165" s="41">
        <f>SUMIF(CD53:CD1144, 4, BB53:BB1144)</f>
        <v>0</v>
      </c>
    </row>
    <row r="1166" spans="1:12" ht="14.25" hidden="1" x14ac:dyDescent="0.2">
      <c r="A1166" s="52"/>
      <c r="B1166" s="58"/>
      <c r="C1166" s="115" t="s">
        <v>954</v>
      </c>
      <c r="D1166" s="115"/>
      <c r="E1166" s="115"/>
      <c r="F1166" s="115"/>
      <c r="G1166" s="115"/>
      <c r="H1166" s="115"/>
      <c r="I1166" s="41"/>
      <c r="J1166" s="52"/>
      <c r="K1166" s="39"/>
      <c r="L1166" s="41">
        <f>SUMIF(CD53:CD1144, 4, AR53:AR1144)+SUMIF(CD53:CD1144, 4, AT53:AT1144)+SUMIF(CD53:CD1144, 4, AV53:AV1144)</f>
        <v>102056.87000000002</v>
      </c>
    </row>
    <row r="1167" spans="1:12" ht="14.25" hidden="1" x14ac:dyDescent="0.2">
      <c r="A1167" s="52"/>
      <c r="B1167" s="58"/>
      <c r="C1167" s="115" t="s">
        <v>955</v>
      </c>
      <c r="D1167" s="115"/>
      <c r="E1167" s="115"/>
      <c r="F1167" s="115"/>
      <c r="G1167" s="115"/>
      <c r="H1167" s="115"/>
      <c r="I1167" s="41"/>
      <c r="J1167" s="52"/>
      <c r="K1167" s="39"/>
      <c r="L1167" s="41">
        <f>SUMIF(CD53:CD1144, 4, AZ53:AZ1144)</f>
        <v>75522.09</v>
      </c>
    </row>
    <row r="1168" spans="1:12" ht="14.25" hidden="1" x14ac:dyDescent="0.2">
      <c r="A1168" s="52"/>
      <c r="B1168" s="58"/>
      <c r="C1168" s="115" t="s">
        <v>956</v>
      </c>
      <c r="D1168" s="115"/>
      <c r="E1168" s="115"/>
      <c r="F1168" s="115"/>
      <c r="G1168" s="115"/>
      <c r="H1168" s="115"/>
      <c r="I1168" s="41"/>
      <c r="J1168" s="52"/>
      <c r="K1168" s="39"/>
      <c r="L1168" s="41">
        <f>SUMIF(CD53:CD1144, 4, BA53:BA1144)</f>
        <v>36740.479999999996</v>
      </c>
    </row>
    <row r="1169" spans="1:12" hidden="1" x14ac:dyDescent="0.2"/>
    <row r="1170" spans="1:12" ht="15" hidden="1" x14ac:dyDescent="0.2">
      <c r="A1170" s="59"/>
      <c r="B1170" s="60"/>
      <c r="C1170" s="117" t="s">
        <v>962</v>
      </c>
      <c r="D1170" s="117"/>
      <c r="E1170" s="117"/>
      <c r="F1170" s="117"/>
      <c r="G1170" s="117"/>
      <c r="H1170" s="117"/>
      <c r="I1170" s="44"/>
      <c r="J1170" s="59"/>
      <c r="K1170" s="61"/>
      <c r="L1170" s="44">
        <f>L1101+L1121+L1141+L1146</f>
        <v>686934.91</v>
      </c>
    </row>
    <row r="1171" spans="1:12" ht="14.25" hidden="1" x14ac:dyDescent="0.2">
      <c r="A1171" s="52"/>
      <c r="B1171" s="58"/>
      <c r="C1171" s="116" t="s">
        <v>882</v>
      </c>
      <c r="D1171" s="115"/>
      <c r="E1171" s="115"/>
      <c r="F1171" s="115"/>
      <c r="G1171" s="115"/>
      <c r="H1171" s="115"/>
      <c r="I1171" s="41"/>
      <c r="J1171" s="52"/>
      <c r="K1171" s="39"/>
      <c r="L1171" s="41"/>
    </row>
    <row r="1172" spans="1:12" ht="14.25" hidden="1" x14ac:dyDescent="0.2">
      <c r="A1172" s="52"/>
      <c r="B1172" s="58"/>
      <c r="C1172" s="115" t="s">
        <v>952</v>
      </c>
      <c r="D1172" s="115"/>
      <c r="E1172" s="115"/>
      <c r="F1172" s="115"/>
      <c r="G1172" s="115"/>
      <c r="H1172" s="115"/>
      <c r="I1172" s="41"/>
      <c r="J1172" s="52"/>
      <c r="K1172" s="39"/>
      <c r="L1172" s="41">
        <f>L1174+L1175+L1181+L1185</f>
        <v>2288730.34</v>
      </c>
    </row>
    <row r="1173" spans="1:12" ht="14.25" hidden="1" x14ac:dyDescent="0.2">
      <c r="A1173" s="52"/>
      <c r="B1173" s="58"/>
      <c r="C1173" s="116" t="s">
        <v>882</v>
      </c>
      <c r="D1173" s="115"/>
      <c r="E1173" s="115"/>
      <c r="F1173" s="115"/>
      <c r="G1173" s="115"/>
      <c r="H1173" s="115"/>
      <c r="I1173" s="41"/>
      <c r="J1173" s="52"/>
      <c r="K1173" s="39"/>
      <c r="L1173" s="41"/>
    </row>
    <row r="1174" spans="1:12" ht="14.25" hidden="1" x14ac:dyDescent="0.2">
      <c r="A1174" s="52"/>
      <c r="B1174" s="58"/>
      <c r="C1174" s="115" t="s">
        <v>953</v>
      </c>
      <c r="D1174" s="115"/>
      <c r="E1174" s="115"/>
      <c r="F1174" s="115"/>
      <c r="G1174" s="115"/>
      <c r="H1174" s="115"/>
      <c r="I1174" s="41"/>
      <c r="J1174" s="52"/>
      <c r="K1174" s="39"/>
      <c r="L1174" s="41">
        <f>SUM(AR53:AR1168)</f>
        <v>201831.91999999998</v>
      </c>
    </row>
    <row r="1175" spans="1:12" ht="14.25" hidden="1" x14ac:dyDescent="0.2">
      <c r="A1175" s="52"/>
      <c r="B1175" s="58"/>
      <c r="C1175" s="115" t="s">
        <v>884</v>
      </c>
      <c r="D1175" s="115"/>
      <c r="E1175" s="115"/>
      <c r="F1175" s="115"/>
      <c r="G1175" s="115"/>
      <c r="H1175" s="115"/>
      <c r="I1175" s="41"/>
      <c r="J1175" s="52"/>
      <c r="K1175" s="39"/>
      <c r="L1175" s="41">
        <f>L1177+L1180+L1179</f>
        <v>49474.98</v>
      </c>
    </row>
    <row r="1176" spans="1:12" ht="14.25" hidden="1" x14ac:dyDescent="0.2">
      <c r="A1176" s="52"/>
      <c r="B1176" s="58"/>
      <c r="C1176" s="116" t="s">
        <v>885</v>
      </c>
      <c r="D1176" s="115"/>
      <c r="E1176" s="115"/>
      <c r="F1176" s="115"/>
      <c r="G1176" s="115"/>
      <c r="H1176" s="115"/>
      <c r="I1176" s="41"/>
      <c r="J1176" s="52"/>
      <c r="K1176" s="39"/>
      <c r="L1176" s="41"/>
    </row>
    <row r="1177" spans="1:12" ht="14.25" hidden="1" x14ac:dyDescent="0.2">
      <c r="A1177" s="52"/>
      <c r="B1177" s="58"/>
      <c r="C1177" s="115" t="s">
        <v>884</v>
      </c>
      <c r="D1177" s="115"/>
      <c r="E1177" s="115"/>
      <c r="F1177" s="115"/>
      <c r="G1177" s="115"/>
      <c r="H1177" s="115"/>
      <c r="I1177" s="41"/>
      <c r="J1177" s="52"/>
      <c r="K1177" s="39"/>
      <c r="L1177" s="41">
        <f>SUM(AO53:AO1168)</f>
        <v>33987.69</v>
      </c>
    </row>
    <row r="1178" spans="1:12" ht="14.25" hidden="1" x14ac:dyDescent="0.2">
      <c r="A1178" s="52"/>
      <c r="B1178" s="58"/>
      <c r="C1178" s="116" t="s">
        <v>886</v>
      </c>
      <c r="D1178" s="115"/>
      <c r="E1178" s="115"/>
      <c r="F1178" s="115"/>
      <c r="G1178" s="115"/>
      <c r="H1178" s="115"/>
      <c r="I1178" s="41"/>
      <c r="J1178" s="52"/>
      <c r="K1178" s="39"/>
      <c r="L1178" s="41"/>
    </row>
    <row r="1179" spans="1:12" ht="14.25" hidden="1" x14ac:dyDescent="0.2">
      <c r="A1179" s="52"/>
      <c r="B1179" s="58"/>
      <c r="C1179" s="115" t="s">
        <v>906</v>
      </c>
      <c r="D1179" s="115"/>
      <c r="E1179" s="115"/>
      <c r="F1179" s="115"/>
      <c r="G1179" s="115"/>
      <c r="H1179" s="115"/>
      <c r="I1179" s="41"/>
      <c r="J1179" s="52"/>
      <c r="K1179" s="39"/>
      <c r="L1179" s="41">
        <f>SUM(AT53:AT1168)</f>
        <v>15487.29</v>
      </c>
    </row>
    <row r="1180" spans="1:12" ht="14.25" hidden="1" x14ac:dyDescent="0.2">
      <c r="A1180" s="52"/>
      <c r="B1180" s="58"/>
      <c r="C1180" s="115" t="s">
        <v>887</v>
      </c>
      <c r="D1180" s="115"/>
      <c r="E1180" s="115"/>
      <c r="F1180" s="115"/>
      <c r="G1180" s="115"/>
      <c r="H1180" s="115"/>
      <c r="I1180" s="41"/>
      <c r="J1180" s="52"/>
      <c r="K1180" s="39"/>
      <c r="L1180" s="41">
        <f>SUM(AV53:AV1168)</f>
        <v>0</v>
      </c>
    </row>
    <row r="1181" spans="1:12" ht="14.25" hidden="1" x14ac:dyDescent="0.2">
      <c r="A1181" s="52"/>
      <c r="B1181" s="58"/>
      <c r="C1181" s="115" t="s">
        <v>888</v>
      </c>
      <c r="D1181" s="115"/>
      <c r="E1181" s="115"/>
      <c r="F1181" s="115"/>
      <c r="G1181" s="115"/>
      <c r="H1181" s="115"/>
      <c r="I1181" s="41"/>
      <c r="J1181" s="52"/>
      <c r="K1181" s="39"/>
      <c r="L1181" s="41">
        <f>L1183+L1184</f>
        <v>2037423.44</v>
      </c>
    </row>
    <row r="1182" spans="1:12" ht="14.25" hidden="1" x14ac:dyDescent="0.2">
      <c r="A1182" s="52"/>
      <c r="B1182" s="58"/>
      <c r="C1182" s="116" t="s">
        <v>885</v>
      </c>
      <c r="D1182" s="115"/>
      <c r="E1182" s="115"/>
      <c r="F1182" s="115"/>
      <c r="G1182" s="115"/>
      <c r="H1182" s="115"/>
      <c r="I1182" s="41"/>
      <c r="J1182" s="52"/>
      <c r="K1182" s="39"/>
      <c r="L1182" s="41"/>
    </row>
    <row r="1183" spans="1:12" ht="14.25" hidden="1" x14ac:dyDescent="0.2">
      <c r="A1183" s="52"/>
      <c r="B1183" s="58"/>
      <c r="C1183" s="115" t="s">
        <v>889</v>
      </c>
      <c r="D1183" s="115"/>
      <c r="E1183" s="115"/>
      <c r="F1183" s="115"/>
      <c r="G1183" s="115"/>
      <c r="H1183" s="115"/>
      <c r="I1183" s="41"/>
      <c r="J1183" s="52"/>
      <c r="K1183" s="39"/>
      <c r="L1183" s="41">
        <f>SUM(AW53:AW1168)-SUM(BK53:BK1168)</f>
        <v>2037423.44</v>
      </c>
    </row>
    <row r="1184" spans="1:12" ht="14.25" hidden="1" x14ac:dyDescent="0.2">
      <c r="A1184" s="52"/>
      <c r="B1184" s="58"/>
      <c r="C1184" s="115" t="s">
        <v>890</v>
      </c>
      <c r="D1184" s="115"/>
      <c r="E1184" s="115"/>
      <c r="F1184" s="115"/>
      <c r="G1184" s="115"/>
      <c r="H1184" s="115"/>
      <c r="I1184" s="41"/>
      <c r="J1184" s="52"/>
      <c r="K1184" s="39"/>
      <c r="L1184" s="41">
        <f>SUM(BC53:BC1168)</f>
        <v>0</v>
      </c>
    </row>
    <row r="1185" spans="1:12" ht="14.25" hidden="1" x14ac:dyDescent="0.2">
      <c r="A1185" s="52"/>
      <c r="B1185" s="58"/>
      <c r="C1185" s="115" t="s">
        <v>891</v>
      </c>
      <c r="D1185" s="115"/>
      <c r="E1185" s="115"/>
      <c r="F1185" s="115"/>
      <c r="G1185" s="115"/>
      <c r="H1185" s="115"/>
      <c r="I1185" s="41"/>
      <c r="J1185" s="52"/>
      <c r="K1185" s="39"/>
      <c r="L1185" s="41">
        <f>SUM(BB53:BB1168)</f>
        <v>0</v>
      </c>
    </row>
    <row r="1186" spans="1:12" ht="14.25" hidden="1" x14ac:dyDescent="0.2">
      <c r="A1186" s="52"/>
      <c r="B1186" s="58"/>
      <c r="C1186" s="115" t="s">
        <v>892</v>
      </c>
      <c r="D1186" s="115"/>
      <c r="E1186" s="115"/>
      <c r="F1186" s="115"/>
      <c r="G1186" s="115"/>
      <c r="H1186" s="115"/>
      <c r="I1186" s="41"/>
      <c r="J1186" s="52"/>
      <c r="K1186" s="39"/>
      <c r="L1186" s="41">
        <f>SUM(AR53:AR1168)+SUM(AT53:AT1168)+SUM(AV53:AV1168)</f>
        <v>217319.21</v>
      </c>
    </row>
    <row r="1187" spans="1:12" ht="14.25" hidden="1" x14ac:dyDescent="0.2">
      <c r="A1187" s="52"/>
      <c r="B1187" s="58"/>
      <c r="C1187" s="115" t="s">
        <v>893</v>
      </c>
      <c r="D1187" s="115"/>
      <c r="E1187" s="115"/>
      <c r="F1187" s="115"/>
      <c r="G1187" s="115"/>
      <c r="H1187" s="115"/>
      <c r="I1187" s="41"/>
      <c r="J1187" s="52"/>
      <c r="K1187" s="39"/>
      <c r="L1187" s="41">
        <f>SUM(AZ53:AZ1168)</f>
        <v>190280.13999999996</v>
      </c>
    </row>
    <row r="1188" spans="1:12" ht="14.25" hidden="1" x14ac:dyDescent="0.2">
      <c r="A1188" s="52"/>
      <c r="B1188" s="58"/>
      <c r="C1188" s="115" t="s">
        <v>894</v>
      </c>
      <c r="D1188" s="115"/>
      <c r="E1188" s="115"/>
      <c r="F1188" s="115"/>
      <c r="G1188" s="115"/>
      <c r="H1188" s="115"/>
      <c r="I1188" s="41"/>
      <c r="J1188" s="52"/>
      <c r="K1188" s="39"/>
      <c r="L1188" s="41">
        <f>SUM(BA53:BA1168)</f>
        <v>100855.90000000002</v>
      </c>
    </row>
    <row r="1189" spans="1:12" ht="14.25" hidden="1" x14ac:dyDescent="0.2">
      <c r="A1189" s="52"/>
      <c r="B1189" s="58"/>
      <c r="C1189" s="115" t="s">
        <v>963</v>
      </c>
      <c r="D1189" s="115"/>
      <c r="E1189" s="115"/>
      <c r="F1189" s="115"/>
      <c r="G1189" s="115"/>
      <c r="H1189" s="115"/>
      <c r="I1189" s="41"/>
      <c r="J1189" s="52"/>
      <c r="K1189" s="39"/>
      <c r="L1189" s="41">
        <f>L1191+L1192</f>
        <v>0</v>
      </c>
    </row>
    <row r="1190" spans="1:12" ht="14.25" hidden="1" x14ac:dyDescent="0.2">
      <c r="A1190" s="52"/>
      <c r="B1190" s="58"/>
      <c r="C1190" s="116" t="s">
        <v>882</v>
      </c>
      <c r="D1190" s="115"/>
      <c r="E1190" s="115"/>
      <c r="F1190" s="115"/>
      <c r="G1190" s="115"/>
      <c r="H1190" s="115"/>
      <c r="I1190" s="41"/>
      <c r="J1190" s="52"/>
      <c r="K1190" s="39"/>
      <c r="L1190" s="41"/>
    </row>
    <row r="1191" spans="1:12" ht="14.25" hidden="1" x14ac:dyDescent="0.2">
      <c r="A1191" s="52"/>
      <c r="B1191" s="58"/>
      <c r="C1191" s="115" t="s">
        <v>896</v>
      </c>
      <c r="D1191" s="115"/>
      <c r="E1191" s="115"/>
      <c r="F1191" s="115"/>
      <c r="G1191" s="115"/>
      <c r="H1191" s="115"/>
      <c r="I1191" s="41"/>
      <c r="J1191" s="52"/>
      <c r="K1191" s="39"/>
      <c r="L1191" s="41">
        <f>SUM(BK53:BK1168)</f>
        <v>0</v>
      </c>
    </row>
    <row r="1192" spans="1:12" ht="14.25" hidden="1" x14ac:dyDescent="0.2">
      <c r="A1192" s="52"/>
      <c r="B1192" s="58"/>
      <c r="C1192" s="115" t="s">
        <v>897</v>
      </c>
      <c r="D1192" s="115"/>
      <c r="E1192" s="115"/>
      <c r="F1192" s="115"/>
      <c r="G1192" s="115"/>
      <c r="H1192" s="115"/>
      <c r="I1192" s="41"/>
      <c r="J1192" s="52"/>
      <c r="K1192" s="39"/>
      <c r="L1192" s="41">
        <f>SUM(BD53:BD1168)</f>
        <v>0</v>
      </c>
    </row>
    <row r="1193" spans="1:12" ht="14.25" hidden="1" x14ac:dyDescent="0.2">
      <c r="A1193" s="52"/>
      <c r="B1193" s="58"/>
      <c r="C1193" s="115" t="s">
        <v>964</v>
      </c>
      <c r="D1193" s="115"/>
      <c r="E1193" s="115"/>
      <c r="F1193" s="115"/>
      <c r="G1193" s="115"/>
      <c r="H1193" s="115"/>
      <c r="I1193" s="41"/>
      <c r="J1193" s="52"/>
      <c r="K1193" s="39"/>
      <c r="L1193" s="41">
        <f>L1146</f>
        <v>214319.44</v>
      </c>
    </row>
    <row r="1194" spans="1:12" ht="14.25" hidden="1" x14ac:dyDescent="0.2">
      <c r="A1194" s="52"/>
      <c r="B1194" s="58"/>
      <c r="C1194" s="117" t="s">
        <v>901</v>
      </c>
      <c r="D1194" s="115"/>
      <c r="E1194" s="115"/>
      <c r="F1194" s="115"/>
      <c r="G1194" s="115"/>
      <c r="H1194" s="115"/>
      <c r="I1194" s="41"/>
      <c r="J1194" s="52"/>
      <c r="K1194" s="39"/>
      <c r="L1194" s="41"/>
    </row>
    <row r="1195" spans="1:12" ht="14.25" hidden="1" x14ac:dyDescent="0.2">
      <c r="A1195" s="52"/>
      <c r="B1195" s="58"/>
      <c r="C1195" s="115" t="s">
        <v>902</v>
      </c>
      <c r="D1195" s="115"/>
      <c r="E1195" s="115"/>
      <c r="F1195" s="115"/>
      <c r="G1195" s="115"/>
      <c r="H1195" s="115"/>
      <c r="I1195" s="41"/>
      <c r="J1195" s="52"/>
      <c r="K1195" s="39"/>
      <c r="L1195" s="41">
        <f>SUM(AX53:AX1168)</f>
        <v>1892931.4700000002</v>
      </c>
    </row>
    <row r="1196" spans="1:12" ht="14.25" hidden="1" x14ac:dyDescent="0.2">
      <c r="A1196" s="52"/>
      <c r="B1196" s="58"/>
      <c r="C1196" s="115" t="s">
        <v>903</v>
      </c>
      <c r="D1196" s="115"/>
      <c r="E1196" s="115"/>
      <c r="F1196" s="115"/>
      <c r="G1196" s="115"/>
      <c r="H1196" s="115"/>
      <c r="I1196" s="41"/>
      <c r="J1196" s="52"/>
      <c r="K1196" s="39"/>
      <c r="L1196" s="41">
        <f>SUM(AY53:AY1168)</f>
        <v>0</v>
      </c>
    </row>
    <row r="1197" spans="1:12" ht="14.25" hidden="1" x14ac:dyDescent="0.2">
      <c r="A1197" s="52"/>
      <c r="B1197" s="58"/>
      <c r="C1197" s="115" t="s">
        <v>904</v>
      </c>
      <c r="D1197" s="115"/>
      <c r="E1197" s="115"/>
      <c r="F1197" s="118"/>
      <c r="G1197" s="43">
        <f>Source!F360</f>
        <v>372.91467840000001</v>
      </c>
      <c r="H1197" s="52"/>
      <c r="I1197" s="52"/>
      <c r="J1197" s="52"/>
      <c r="K1197" s="52"/>
      <c r="L1197" s="52"/>
    </row>
    <row r="1198" spans="1:12" ht="14.25" hidden="1" x14ac:dyDescent="0.2">
      <c r="A1198" s="52"/>
      <c r="B1198" s="58"/>
      <c r="C1198" s="115" t="s">
        <v>905</v>
      </c>
      <c r="D1198" s="115"/>
      <c r="E1198" s="115"/>
      <c r="F1198" s="118"/>
      <c r="G1198" s="43">
        <f>Source!F361</f>
        <v>25.910122000000001</v>
      </c>
      <c r="H1198" s="52"/>
      <c r="I1198" s="52"/>
      <c r="J1198" s="52"/>
      <c r="K1198" s="52"/>
      <c r="L1198" s="52"/>
    </row>
    <row r="1200" spans="1:12" ht="15.75" x14ac:dyDescent="0.25">
      <c r="C1200" s="122" t="str">
        <f>Source!H367</f>
        <v>Итого</v>
      </c>
      <c r="D1200" s="122"/>
      <c r="E1200" s="122"/>
      <c r="F1200" s="122"/>
      <c r="G1200" s="122"/>
      <c r="H1200" s="122"/>
      <c r="I1200" s="122"/>
      <c r="J1200" s="122"/>
      <c r="K1200" s="122"/>
      <c r="L1200" s="74">
        <f>L1091+L904+L863+L808+L574+L399</f>
        <v>2579866.38</v>
      </c>
    </row>
    <row r="1201" spans="1:12" ht="15.75" x14ac:dyDescent="0.25">
      <c r="C1201" s="123" t="s">
        <v>968</v>
      </c>
      <c r="D1201" s="123"/>
      <c r="E1201" s="123"/>
      <c r="F1201" s="123"/>
      <c r="G1201" s="68"/>
      <c r="H1201" s="68"/>
      <c r="I1201" s="68"/>
      <c r="J1201" s="69"/>
      <c r="K1201" s="69"/>
      <c r="L1201" s="70">
        <v>71750.399999999994</v>
      </c>
    </row>
    <row r="1202" spans="1:12" ht="15.75" x14ac:dyDescent="0.25">
      <c r="C1202" s="68" t="s">
        <v>424</v>
      </c>
      <c r="D1202" s="68"/>
      <c r="E1202" s="68"/>
      <c r="F1202" s="71"/>
      <c r="G1202" s="68"/>
      <c r="H1202" s="68"/>
      <c r="I1202" s="68"/>
      <c r="J1202" s="69"/>
      <c r="K1202" s="69"/>
      <c r="L1202" s="70">
        <f>L1201+L1200+L1199</f>
        <v>2651616.7799999998</v>
      </c>
    </row>
    <row r="1203" spans="1:12" ht="15.75" x14ac:dyDescent="0.25">
      <c r="C1203" s="68" t="s">
        <v>969</v>
      </c>
      <c r="D1203" s="72">
        <v>0.2</v>
      </c>
      <c r="E1203" s="68"/>
      <c r="F1203" s="71"/>
      <c r="G1203" s="68"/>
      <c r="H1203" s="68"/>
      <c r="I1203" s="68"/>
      <c r="J1203" s="69"/>
      <c r="K1203" s="69"/>
      <c r="L1203" s="70">
        <f>0.2*L1202</f>
        <v>530323.35600000003</v>
      </c>
    </row>
    <row r="1204" spans="1:12" ht="15.75" x14ac:dyDescent="0.25">
      <c r="C1204" s="122" t="s">
        <v>428</v>
      </c>
      <c r="D1204" s="122"/>
      <c r="E1204" s="122"/>
      <c r="F1204" s="122"/>
      <c r="G1204" s="122"/>
      <c r="H1204" s="122"/>
      <c r="I1204" s="122"/>
      <c r="J1204" s="52"/>
      <c r="K1204" s="52"/>
      <c r="L1204" s="73">
        <f>L1203+L1202</f>
        <v>3181940.1359999999</v>
      </c>
    </row>
    <row r="1207" spans="1:12" ht="14.25" customHeight="1" x14ac:dyDescent="0.2">
      <c r="A1207" s="120" t="s">
        <v>965</v>
      </c>
      <c r="B1207" s="120"/>
      <c r="C1207" s="67" t="str">
        <f>IF(Source!AC12&lt;&gt;"", Source!AC12," ")</f>
        <v xml:space="preserve"> </v>
      </c>
      <c r="D1207" s="29"/>
      <c r="E1207" s="29"/>
      <c r="F1207" s="29"/>
      <c r="G1207" s="29"/>
      <c r="H1207" s="15" t="str">
        <f>IF(Source!AB12&lt;&gt;"", Source!AB12," ")</f>
        <v>Мишкина З.И.</v>
      </c>
      <c r="I1207" s="21"/>
      <c r="J1207" s="21"/>
      <c r="K1207" s="33"/>
      <c r="L1207" s="33"/>
    </row>
    <row r="1208" spans="1:12" ht="14.25" customHeight="1" x14ac:dyDescent="0.2">
      <c r="A1208" s="19"/>
      <c r="B1208" s="19"/>
      <c r="C1208" s="121" t="s">
        <v>966</v>
      </c>
      <c r="D1208" s="121"/>
      <c r="E1208" s="121"/>
      <c r="F1208" s="121"/>
      <c r="G1208" s="121"/>
      <c r="H1208" s="21"/>
      <c r="I1208" s="21"/>
      <c r="J1208" s="21"/>
      <c r="K1208" s="33"/>
      <c r="L1208" s="33"/>
    </row>
    <row r="1209" spans="1:12" ht="14.25" customHeight="1" x14ac:dyDescent="0.2">
      <c r="A1209" s="19"/>
      <c r="B1209" s="19"/>
      <c r="C1209" s="79"/>
      <c r="D1209" s="19"/>
      <c r="E1209" s="19"/>
      <c r="F1209" s="19"/>
      <c r="G1209" s="19"/>
      <c r="H1209" s="21"/>
      <c r="I1209" s="21"/>
      <c r="J1209" s="21"/>
      <c r="K1209" s="33"/>
      <c r="L1209" s="33"/>
    </row>
    <row r="1210" spans="1:12" ht="14.25" customHeight="1" x14ac:dyDescent="0.2">
      <c r="A1210" s="120" t="s">
        <v>967</v>
      </c>
      <c r="B1210" s="120"/>
      <c r="C1210" s="67" t="str">
        <f>IF(Source!AE12&lt;&gt;"", Source!AE12," ")</f>
        <v xml:space="preserve"> </v>
      </c>
      <c r="D1210" s="29"/>
      <c r="E1210" s="29"/>
      <c r="F1210" s="29"/>
      <c r="G1210" s="29"/>
      <c r="H1210" s="15" t="str">
        <f>IF(Source!AD12&lt;&gt;"", Source!AD12," ")</f>
        <v>Сукочев А.А.</v>
      </c>
      <c r="I1210" s="21"/>
      <c r="J1210" s="21"/>
      <c r="K1210" s="33"/>
      <c r="L1210" s="33"/>
    </row>
    <row r="1211" spans="1:12" ht="14.25" customHeight="1" x14ac:dyDescent="0.2">
      <c r="A1211" s="19"/>
      <c r="B1211" s="19"/>
      <c r="C1211" s="121" t="s">
        <v>966</v>
      </c>
      <c r="D1211" s="121"/>
      <c r="E1211" s="121"/>
      <c r="F1211" s="121"/>
      <c r="G1211" s="121"/>
      <c r="H1211" s="21"/>
      <c r="I1211" s="21"/>
      <c r="J1211" s="21"/>
      <c r="K1211" s="33"/>
      <c r="L1211" s="33"/>
    </row>
  </sheetData>
  <mergeCells count="528">
    <mergeCell ref="A1210:B1210"/>
    <mergeCell ref="C1211:G1211"/>
    <mergeCell ref="C1198:F1198"/>
    <mergeCell ref="C1200:K1200"/>
    <mergeCell ref="A1207:B1207"/>
    <mergeCell ref="C1208:G1208"/>
    <mergeCell ref="C1192:H1192"/>
    <mergeCell ref="C1193:H1193"/>
    <mergeCell ref="C1194:H1194"/>
    <mergeCell ref="C1195:H1195"/>
    <mergeCell ref="C1196:H1196"/>
    <mergeCell ref="C1197:F1197"/>
    <mergeCell ref="C1201:F1201"/>
    <mergeCell ref="C1204:I1204"/>
    <mergeCell ref="C1186:H1186"/>
    <mergeCell ref="C1187:H1187"/>
    <mergeCell ref="C1188:H1188"/>
    <mergeCell ref="C1189:H1189"/>
    <mergeCell ref="C1190:H1190"/>
    <mergeCell ref="C1191:H1191"/>
    <mergeCell ref="C1180:H1180"/>
    <mergeCell ref="C1181:H1181"/>
    <mergeCell ref="C1182:H1182"/>
    <mergeCell ref="C1183:H1183"/>
    <mergeCell ref="C1184:H1184"/>
    <mergeCell ref="C1185:H1185"/>
    <mergeCell ref="C1174:H1174"/>
    <mergeCell ref="C1175:H1175"/>
    <mergeCell ref="C1176:H1176"/>
    <mergeCell ref="C1177:H1177"/>
    <mergeCell ref="C1178:H1178"/>
    <mergeCell ref="C1179:H1179"/>
    <mergeCell ref="C1167:H1167"/>
    <mergeCell ref="C1168:H1168"/>
    <mergeCell ref="C1170:H1170"/>
    <mergeCell ref="C1171:H1171"/>
    <mergeCell ref="C1172:H1172"/>
    <mergeCell ref="C1173:H1173"/>
    <mergeCell ref="C1161:H1161"/>
    <mergeCell ref="C1162:H1162"/>
    <mergeCell ref="C1163:H1163"/>
    <mergeCell ref="C1164:H1164"/>
    <mergeCell ref="C1165:H1165"/>
    <mergeCell ref="C1166:H1166"/>
    <mergeCell ref="C1155:H1155"/>
    <mergeCell ref="C1156:H1156"/>
    <mergeCell ref="C1157:H1157"/>
    <mergeCell ref="C1158:H1158"/>
    <mergeCell ref="C1159:H1159"/>
    <mergeCell ref="C1160:H1160"/>
    <mergeCell ref="C1149:H1149"/>
    <mergeCell ref="C1150:H1150"/>
    <mergeCell ref="C1151:H1151"/>
    <mergeCell ref="C1152:H1152"/>
    <mergeCell ref="C1153:H1153"/>
    <mergeCell ref="C1154:H1154"/>
    <mergeCell ref="C1142:H1142"/>
    <mergeCell ref="C1143:H1143"/>
    <mergeCell ref="C1144:H1144"/>
    <mergeCell ref="C1146:H1146"/>
    <mergeCell ref="C1147:H1147"/>
    <mergeCell ref="C1148:H1148"/>
    <mergeCell ref="C1135:H1135"/>
    <mergeCell ref="C1136:H1136"/>
    <mergeCell ref="C1137:H1137"/>
    <mergeCell ref="C1138:H1138"/>
    <mergeCell ref="C1139:H1139"/>
    <mergeCell ref="C1141:H1141"/>
    <mergeCell ref="C1129:H1129"/>
    <mergeCell ref="C1130:H1130"/>
    <mergeCell ref="C1131:H1131"/>
    <mergeCell ref="C1132:H1132"/>
    <mergeCell ref="C1133:H1133"/>
    <mergeCell ref="C1134:H1134"/>
    <mergeCell ref="C1123:H1123"/>
    <mergeCell ref="C1124:H1124"/>
    <mergeCell ref="C1125:H1125"/>
    <mergeCell ref="C1126:H1126"/>
    <mergeCell ref="C1127:H1127"/>
    <mergeCell ref="C1128:H1128"/>
    <mergeCell ref="C1116:H1116"/>
    <mergeCell ref="C1117:H1117"/>
    <mergeCell ref="C1118:H1118"/>
    <mergeCell ref="C1119:H1119"/>
    <mergeCell ref="C1121:H1121"/>
    <mergeCell ref="C1122:H1122"/>
    <mergeCell ref="C1110:H1110"/>
    <mergeCell ref="C1111:H1111"/>
    <mergeCell ref="C1112:H1112"/>
    <mergeCell ref="C1113:H1113"/>
    <mergeCell ref="C1114:H1114"/>
    <mergeCell ref="C1115:H1115"/>
    <mergeCell ref="C1104:H1104"/>
    <mergeCell ref="C1105:H1105"/>
    <mergeCell ref="C1106:H1106"/>
    <mergeCell ref="C1107:H1107"/>
    <mergeCell ref="C1108:H1108"/>
    <mergeCell ref="C1109:H1109"/>
    <mergeCell ref="C1095:F1095"/>
    <mergeCell ref="C1096:F1096"/>
    <mergeCell ref="C1099:H1099"/>
    <mergeCell ref="C1101:H1101"/>
    <mergeCell ref="C1102:H1102"/>
    <mergeCell ref="C1103:H1103"/>
    <mergeCell ref="C1089:H1089"/>
    <mergeCell ref="C1090:H1090"/>
    <mergeCell ref="C1091:H1091"/>
    <mergeCell ref="C1092:H1092"/>
    <mergeCell ref="C1093:H1093"/>
    <mergeCell ref="C1094:H1094"/>
    <mergeCell ref="C1083:H1083"/>
    <mergeCell ref="C1084:H1084"/>
    <mergeCell ref="C1085:H1085"/>
    <mergeCell ref="C1086:H1086"/>
    <mergeCell ref="C1087:H1087"/>
    <mergeCell ref="C1088:H1088"/>
    <mergeCell ref="C1077:H1077"/>
    <mergeCell ref="C1078:H1078"/>
    <mergeCell ref="C1079:H1079"/>
    <mergeCell ref="C1080:H1080"/>
    <mergeCell ref="C1081:H1081"/>
    <mergeCell ref="C1082:H1082"/>
    <mergeCell ref="C1071:H1071"/>
    <mergeCell ref="C1072:H1072"/>
    <mergeCell ref="C1073:H1073"/>
    <mergeCell ref="C1074:H1074"/>
    <mergeCell ref="C1075:H1075"/>
    <mergeCell ref="C1076:H1076"/>
    <mergeCell ref="C1066:H1066"/>
    <mergeCell ref="I1066:J1066"/>
    <mergeCell ref="K1066:L1066"/>
    <mergeCell ref="C1068:H1068"/>
    <mergeCell ref="C1069:H1069"/>
    <mergeCell ref="C1070:H1070"/>
    <mergeCell ref="C1047:H1047"/>
    <mergeCell ref="I1047:J1047"/>
    <mergeCell ref="K1047:L1047"/>
    <mergeCell ref="C1057:H1057"/>
    <mergeCell ref="I1057:J1057"/>
    <mergeCell ref="K1057:L1057"/>
    <mergeCell ref="C1029:H1029"/>
    <mergeCell ref="I1029:J1029"/>
    <mergeCell ref="K1029:L1029"/>
    <mergeCell ref="C1038:H1038"/>
    <mergeCell ref="I1038:J1038"/>
    <mergeCell ref="K1038:L1038"/>
    <mergeCell ref="C1011:H1011"/>
    <mergeCell ref="I1011:J1011"/>
    <mergeCell ref="K1011:L1011"/>
    <mergeCell ref="C1020:H1020"/>
    <mergeCell ref="I1020:J1020"/>
    <mergeCell ref="K1020:L1020"/>
    <mergeCell ref="C993:H993"/>
    <mergeCell ref="I993:J993"/>
    <mergeCell ref="K993:L993"/>
    <mergeCell ref="C1002:H1002"/>
    <mergeCell ref="I1002:J1002"/>
    <mergeCell ref="K1002:L1002"/>
    <mergeCell ref="C975:H975"/>
    <mergeCell ref="I975:J975"/>
    <mergeCell ref="K975:L975"/>
    <mergeCell ref="C984:H984"/>
    <mergeCell ref="I984:J984"/>
    <mergeCell ref="K984:L984"/>
    <mergeCell ref="C956:H956"/>
    <mergeCell ref="I956:J956"/>
    <mergeCell ref="K956:L956"/>
    <mergeCell ref="C966:H966"/>
    <mergeCell ref="I966:J966"/>
    <mergeCell ref="K966:L966"/>
    <mergeCell ref="C937:H937"/>
    <mergeCell ref="I937:J937"/>
    <mergeCell ref="K937:L937"/>
    <mergeCell ref="C946:H946"/>
    <mergeCell ref="I946:J946"/>
    <mergeCell ref="K946:L946"/>
    <mergeCell ref="C919:H919"/>
    <mergeCell ref="I919:J919"/>
    <mergeCell ref="K919:L919"/>
    <mergeCell ref="C928:H928"/>
    <mergeCell ref="I928:J928"/>
    <mergeCell ref="K928:L928"/>
    <mergeCell ref="C903:H903"/>
    <mergeCell ref="C904:H904"/>
    <mergeCell ref="C905:H905"/>
    <mergeCell ref="C906:F906"/>
    <mergeCell ref="C907:F907"/>
    <mergeCell ref="A910:L910"/>
    <mergeCell ref="C897:H897"/>
    <mergeCell ref="C898:H898"/>
    <mergeCell ref="C899:H899"/>
    <mergeCell ref="C900:H900"/>
    <mergeCell ref="C901:H901"/>
    <mergeCell ref="C902:H902"/>
    <mergeCell ref="C891:H891"/>
    <mergeCell ref="C892:H892"/>
    <mergeCell ref="C893:H893"/>
    <mergeCell ref="C894:H894"/>
    <mergeCell ref="C895:H895"/>
    <mergeCell ref="C896:H896"/>
    <mergeCell ref="C885:H885"/>
    <mergeCell ref="C886:H886"/>
    <mergeCell ref="C887:H887"/>
    <mergeCell ref="C888:H888"/>
    <mergeCell ref="C889:H889"/>
    <mergeCell ref="C890:H890"/>
    <mergeCell ref="C879:H879"/>
    <mergeCell ref="C880:H880"/>
    <mergeCell ref="C881:H881"/>
    <mergeCell ref="C882:H882"/>
    <mergeCell ref="C883:H883"/>
    <mergeCell ref="C884:H884"/>
    <mergeCell ref="C875:H875"/>
    <mergeCell ref="I875:J875"/>
    <mergeCell ref="K875:L875"/>
    <mergeCell ref="C877:H877"/>
    <mergeCell ref="I877:J877"/>
    <mergeCell ref="K877:L877"/>
    <mergeCell ref="C867:F867"/>
    <mergeCell ref="C868:F868"/>
    <mergeCell ref="A871:L871"/>
    <mergeCell ref="C873:H873"/>
    <mergeCell ref="I873:J873"/>
    <mergeCell ref="K873:L873"/>
    <mergeCell ref="C861:H861"/>
    <mergeCell ref="C862:H862"/>
    <mergeCell ref="C863:H863"/>
    <mergeCell ref="C864:H864"/>
    <mergeCell ref="C865:H865"/>
    <mergeCell ref="C866:H866"/>
    <mergeCell ref="C855:H855"/>
    <mergeCell ref="C856:H856"/>
    <mergeCell ref="C857:H857"/>
    <mergeCell ref="C858:H858"/>
    <mergeCell ref="C859:H859"/>
    <mergeCell ref="C860:H860"/>
    <mergeCell ref="C849:H849"/>
    <mergeCell ref="C850:H850"/>
    <mergeCell ref="C851:H851"/>
    <mergeCell ref="C852:H852"/>
    <mergeCell ref="C853:H853"/>
    <mergeCell ref="C854:H854"/>
    <mergeCell ref="C843:H843"/>
    <mergeCell ref="C844:H844"/>
    <mergeCell ref="C845:H845"/>
    <mergeCell ref="C846:H846"/>
    <mergeCell ref="C847:H847"/>
    <mergeCell ref="C848:H848"/>
    <mergeCell ref="C838:H838"/>
    <mergeCell ref="I838:J838"/>
    <mergeCell ref="K838:L838"/>
    <mergeCell ref="C840:H840"/>
    <mergeCell ref="C841:H841"/>
    <mergeCell ref="C842:H842"/>
    <mergeCell ref="C833:H833"/>
    <mergeCell ref="I833:J833"/>
    <mergeCell ref="K833:L833"/>
    <mergeCell ref="C835:H835"/>
    <mergeCell ref="I835:J835"/>
    <mergeCell ref="K835:L835"/>
    <mergeCell ref="C829:H829"/>
    <mergeCell ref="I829:J829"/>
    <mergeCell ref="K829:L829"/>
    <mergeCell ref="C831:H831"/>
    <mergeCell ref="I831:J831"/>
    <mergeCell ref="K831:L831"/>
    <mergeCell ref="C823:H823"/>
    <mergeCell ref="I823:J823"/>
    <mergeCell ref="K823:L823"/>
    <mergeCell ref="C826:H826"/>
    <mergeCell ref="I826:J826"/>
    <mergeCell ref="K826:L826"/>
    <mergeCell ref="C819:H819"/>
    <mergeCell ref="I819:J819"/>
    <mergeCell ref="K819:L819"/>
    <mergeCell ref="C821:H821"/>
    <mergeCell ref="I821:J821"/>
    <mergeCell ref="K821:L821"/>
    <mergeCell ref="C809:H809"/>
    <mergeCell ref="C810:H810"/>
    <mergeCell ref="C811:H811"/>
    <mergeCell ref="C812:F812"/>
    <mergeCell ref="C813:F813"/>
    <mergeCell ref="A816:L816"/>
    <mergeCell ref="C803:H803"/>
    <mergeCell ref="C804:H804"/>
    <mergeCell ref="C805:H805"/>
    <mergeCell ref="C806:H806"/>
    <mergeCell ref="C807:H807"/>
    <mergeCell ref="C808:H808"/>
    <mergeCell ref="C797:H797"/>
    <mergeCell ref="C798:H798"/>
    <mergeCell ref="C799:H799"/>
    <mergeCell ref="C800:H800"/>
    <mergeCell ref="C801:H801"/>
    <mergeCell ref="C802:H802"/>
    <mergeCell ref="C791:H791"/>
    <mergeCell ref="C792:H792"/>
    <mergeCell ref="C793:H793"/>
    <mergeCell ref="C794:H794"/>
    <mergeCell ref="C795:H795"/>
    <mergeCell ref="C796:H796"/>
    <mergeCell ref="C785:H785"/>
    <mergeCell ref="C786:H786"/>
    <mergeCell ref="C787:H787"/>
    <mergeCell ref="C788:H788"/>
    <mergeCell ref="C789:H789"/>
    <mergeCell ref="C790:H790"/>
    <mergeCell ref="C763:H763"/>
    <mergeCell ref="I763:J763"/>
    <mergeCell ref="K763:L763"/>
    <mergeCell ref="C783:H783"/>
    <mergeCell ref="I783:J783"/>
    <mergeCell ref="K783:L783"/>
    <mergeCell ref="C724:H724"/>
    <mergeCell ref="I724:J724"/>
    <mergeCell ref="K724:L724"/>
    <mergeCell ref="C743:H743"/>
    <mergeCell ref="I743:J743"/>
    <mergeCell ref="K743:L743"/>
    <mergeCell ref="C682:H682"/>
    <mergeCell ref="I682:J682"/>
    <mergeCell ref="K682:L682"/>
    <mergeCell ref="C698:H698"/>
    <mergeCell ref="I698:J698"/>
    <mergeCell ref="K698:L698"/>
    <mergeCell ref="C640:H640"/>
    <mergeCell ref="I640:J640"/>
    <mergeCell ref="K640:L640"/>
    <mergeCell ref="C660:H660"/>
    <mergeCell ref="I660:J660"/>
    <mergeCell ref="K660:L660"/>
    <mergeCell ref="C602:H602"/>
    <mergeCell ref="I602:J602"/>
    <mergeCell ref="K602:L602"/>
    <mergeCell ref="C619:H619"/>
    <mergeCell ref="I619:J619"/>
    <mergeCell ref="K619:L619"/>
    <mergeCell ref="C575:H575"/>
    <mergeCell ref="C576:H576"/>
    <mergeCell ref="C577:H577"/>
    <mergeCell ref="C578:F578"/>
    <mergeCell ref="C579:F579"/>
    <mergeCell ref="A582:L582"/>
    <mergeCell ref="C569:H569"/>
    <mergeCell ref="C570:H570"/>
    <mergeCell ref="C571:H571"/>
    <mergeCell ref="C572:H572"/>
    <mergeCell ref="C573:H573"/>
    <mergeCell ref="C574:H574"/>
    <mergeCell ref="C563:H563"/>
    <mergeCell ref="C564:H564"/>
    <mergeCell ref="C565:H565"/>
    <mergeCell ref="C566:H566"/>
    <mergeCell ref="C567:H567"/>
    <mergeCell ref="C568:H568"/>
    <mergeCell ref="C557:H557"/>
    <mergeCell ref="C558:H558"/>
    <mergeCell ref="C559:H559"/>
    <mergeCell ref="C560:H560"/>
    <mergeCell ref="C561:H561"/>
    <mergeCell ref="C562:H562"/>
    <mergeCell ref="C551:H551"/>
    <mergeCell ref="C552:H552"/>
    <mergeCell ref="C553:H553"/>
    <mergeCell ref="C554:H554"/>
    <mergeCell ref="C555:H555"/>
    <mergeCell ref="C556:H556"/>
    <mergeCell ref="C510:L510"/>
    <mergeCell ref="C528:H528"/>
    <mergeCell ref="I528:J528"/>
    <mergeCell ref="K528:L528"/>
    <mergeCell ref="C530:L530"/>
    <mergeCell ref="C549:H549"/>
    <mergeCell ref="I549:J549"/>
    <mergeCell ref="K549:L549"/>
    <mergeCell ref="C470:L470"/>
    <mergeCell ref="C491:H491"/>
    <mergeCell ref="I491:J491"/>
    <mergeCell ref="K491:L491"/>
    <mergeCell ref="C493:L493"/>
    <mergeCell ref="C508:H508"/>
    <mergeCell ref="I508:J508"/>
    <mergeCell ref="K508:L508"/>
    <mergeCell ref="C430:L430"/>
    <mergeCell ref="C446:H446"/>
    <mergeCell ref="I446:J446"/>
    <mergeCell ref="K446:L446"/>
    <mergeCell ref="C448:L448"/>
    <mergeCell ref="C468:H468"/>
    <mergeCell ref="I468:J468"/>
    <mergeCell ref="K468:L468"/>
    <mergeCell ref="C403:F403"/>
    <mergeCell ref="C404:F404"/>
    <mergeCell ref="A407:L407"/>
    <mergeCell ref="C409:L409"/>
    <mergeCell ref="C428:H428"/>
    <mergeCell ref="I428:J428"/>
    <mergeCell ref="K428:L428"/>
    <mergeCell ref="C397:H397"/>
    <mergeCell ref="C398:H398"/>
    <mergeCell ref="C399:H399"/>
    <mergeCell ref="C400:H400"/>
    <mergeCell ref="C401:H401"/>
    <mergeCell ref="C402:H402"/>
    <mergeCell ref="C391:H391"/>
    <mergeCell ref="C392:H392"/>
    <mergeCell ref="C393:H393"/>
    <mergeCell ref="C394:H394"/>
    <mergeCell ref="C395:H395"/>
    <mergeCell ref="C396:H396"/>
    <mergeCell ref="C385:H385"/>
    <mergeCell ref="C386:H386"/>
    <mergeCell ref="C387:H387"/>
    <mergeCell ref="C388:H388"/>
    <mergeCell ref="C389:H389"/>
    <mergeCell ref="C390:H390"/>
    <mergeCell ref="C379:H379"/>
    <mergeCell ref="C380:H380"/>
    <mergeCell ref="C381:H381"/>
    <mergeCell ref="C382:H382"/>
    <mergeCell ref="C383:H383"/>
    <mergeCell ref="C384:H384"/>
    <mergeCell ref="C374:H374"/>
    <mergeCell ref="I374:J374"/>
    <mergeCell ref="K374:L374"/>
    <mergeCell ref="C376:H376"/>
    <mergeCell ref="C377:H377"/>
    <mergeCell ref="C378:H378"/>
    <mergeCell ref="C359:H359"/>
    <mergeCell ref="I359:J359"/>
    <mergeCell ref="K359:L359"/>
    <mergeCell ref="C372:H372"/>
    <mergeCell ref="I372:J372"/>
    <mergeCell ref="K372:L372"/>
    <mergeCell ref="C347:H347"/>
    <mergeCell ref="I347:J347"/>
    <mergeCell ref="K347:L347"/>
    <mergeCell ref="C349:H349"/>
    <mergeCell ref="I349:J349"/>
    <mergeCell ref="K349:L349"/>
    <mergeCell ref="C314:H314"/>
    <mergeCell ref="I314:J314"/>
    <mergeCell ref="K314:L314"/>
    <mergeCell ref="C334:H334"/>
    <mergeCell ref="I334:J334"/>
    <mergeCell ref="K334:L334"/>
    <mergeCell ref="C275:H275"/>
    <mergeCell ref="I275:J275"/>
    <mergeCell ref="K275:L275"/>
    <mergeCell ref="C294:H294"/>
    <mergeCell ref="I294:J294"/>
    <mergeCell ref="K294:L294"/>
    <mergeCell ref="C224:H224"/>
    <mergeCell ref="I224:J224"/>
    <mergeCell ref="K224:L224"/>
    <mergeCell ref="C259:H259"/>
    <mergeCell ref="I259:J259"/>
    <mergeCell ref="K259:L259"/>
    <mergeCell ref="C184:H184"/>
    <mergeCell ref="I184:J184"/>
    <mergeCell ref="K184:L184"/>
    <mergeCell ref="C204:H204"/>
    <mergeCell ref="I204:J204"/>
    <mergeCell ref="K204:L204"/>
    <mergeCell ref="C144:L144"/>
    <mergeCell ref="C152:H152"/>
    <mergeCell ref="I152:J152"/>
    <mergeCell ref="K152:L152"/>
    <mergeCell ref="C168:H168"/>
    <mergeCell ref="I168:J168"/>
    <mergeCell ref="K168:L168"/>
    <mergeCell ref="C100:L100"/>
    <mergeCell ref="C133:H133"/>
    <mergeCell ref="I133:J133"/>
    <mergeCell ref="K133:L133"/>
    <mergeCell ref="C142:H142"/>
    <mergeCell ref="I142:J142"/>
    <mergeCell ref="K142:L142"/>
    <mergeCell ref="C78:L78"/>
    <mergeCell ref="C79:L79"/>
    <mergeCell ref="C80:F80"/>
    <mergeCell ref="C98:H98"/>
    <mergeCell ref="I98:J98"/>
    <mergeCell ref="K98:L98"/>
    <mergeCell ref="A54:L54"/>
    <mergeCell ref="C56:L56"/>
    <mergeCell ref="C57:L57"/>
    <mergeCell ref="C58:F58"/>
    <mergeCell ref="C76:H76"/>
    <mergeCell ref="I76:J76"/>
    <mergeCell ref="K76:L76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A28:L28"/>
    <mergeCell ref="A29:L29"/>
    <mergeCell ref="C34:L34"/>
    <mergeCell ref="A14:E14"/>
    <mergeCell ref="F14:L14"/>
    <mergeCell ref="A16:E16"/>
    <mergeCell ref="F16:L16"/>
    <mergeCell ref="B18:C18"/>
    <mergeCell ref="B20:F20"/>
    <mergeCell ref="B22:E22"/>
    <mergeCell ref="B24:C24"/>
    <mergeCell ref="A26:L26"/>
    <mergeCell ref="A8:E8"/>
    <mergeCell ref="F8:L8"/>
    <mergeCell ref="A10:E10"/>
    <mergeCell ref="F10:L10"/>
    <mergeCell ref="A12:E12"/>
    <mergeCell ref="F12:L12"/>
    <mergeCell ref="A2:E2"/>
    <mergeCell ref="F2:L2"/>
    <mergeCell ref="A4:E4"/>
    <mergeCell ref="F4:L4"/>
    <mergeCell ref="A6:E6"/>
    <mergeCell ref="F6:L6"/>
  </mergeCells>
  <pageMargins left="0.39370078740157483" right="0.19685039370078741" top="0.39370078740157483" bottom="0.39370078740157483" header="0.19685039370078741" footer="0.19685039370078741"/>
  <pageSetup paperSize="9" scale="46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436"/>
  <sheetViews>
    <sheetView workbookViewId="0">
      <selection activeCell="A432" sqref="A432:AX432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430</v>
      </c>
      <c r="C12" s="1">
        <v>0</v>
      </c>
      <c r="D12" s="1">
        <f>ROW(A371)</f>
        <v>371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3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45603</v>
      </c>
      <c r="CT12" s="1">
        <v>505</v>
      </c>
      <c r="CU12" s="1">
        <v>12</v>
      </c>
      <c r="CV12" s="1" t="s">
        <v>786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06" x14ac:dyDescent="0.2">
      <c r="A18" s="2">
        <v>52</v>
      </c>
      <c r="B18" s="2">
        <f t="shared" ref="B18:G18" si="0">B371</f>
        <v>430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КТП</v>
      </c>
      <c r="H18" s="2"/>
      <c r="I18" s="2"/>
      <c r="J18" s="2"/>
      <c r="K18" s="2"/>
      <c r="L18" s="2"/>
      <c r="M18" s="2"/>
      <c r="N18" s="2"/>
      <c r="O18" s="2">
        <f t="shared" ref="O18:AT18" si="1">O371</f>
        <v>2288730.34</v>
      </c>
      <c r="P18" s="2">
        <f t="shared" si="1"/>
        <v>2037423.44</v>
      </c>
      <c r="Q18" s="2">
        <f t="shared" si="1"/>
        <v>33987.69</v>
      </c>
      <c r="R18" s="2">
        <f t="shared" si="1"/>
        <v>15487.29</v>
      </c>
      <c r="S18" s="2">
        <f t="shared" si="1"/>
        <v>201831.92</v>
      </c>
      <c r="T18" s="2">
        <f t="shared" si="1"/>
        <v>0</v>
      </c>
      <c r="U18" s="2">
        <f t="shared" si="1"/>
        <v>372.91467839999996</v>
      </c>
      <c r="V18" s="2">
        <f t="shared" si="1"/>
        <v>25.910122000000001</v>
      </c>
      <c r="W18" s="2">
        <f t="shared" si="1"/>
        <v>0</v>
      </c>
      <c r="X18" s="2">
        <f t="shared" si="1"/>
        <v>190280.14</v>
      </c>
      <c r="Y18" s="2">
        <f t="shared" si="1"/>
        <v>100855.9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2579866.38</v>
      </c>
      <c r="AS18" s="2">
        <f t="shared" si="1"/>
        <v>2154157.86</v>
      </c>
      <c r="AT18" s="2">
        <f t="shared" si="1"/>
        <v>211389.08</v>
      </c>
      <c r="AU18" s="2">
        <f t="shared" ref="AU18:BZ18" si="2">AU371</f>
        <v>214319.44</v>
      </c>
      <c r="AV18" s="2">
        <f t="shared" si="2"/>
        <v>2037423.44</v>
      </c>
      <c r="AW18" s="2">
        <f t="shared" si="2"/>
        <v>2037423.44</v>
      </c>
      <c r="AX18" s="2">
        <f t="shared" si="2"/>
        <v>0</v>
      </c>
      <c r="AY18" s="2">
        <f t="shared" si="2"/>
        <v>2037423.44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CA371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DG371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EM371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FS371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06" x14ac:dyDescent="0.2">
      <c r="A20" s="1">
        <v>3</v>
      </c>
      <c r="B20" s="1">
        <v>0</v>
      </c>
      <c r="C20" s="1"/>
      <c r="D20" s="1">
        <f>ROW(A24)</f>
        <v>24</v>
      </c>
      <c r="E20" s="1"/>
      <c r="F20" s="1" t="s">
        <v>3</v>
      </c>
      <c r="G20" s="1" t="s">
        <v>15</v>
      </c>
      <c r="H20" s="1" t="s">
        <v>3</v>
      </c>
      <c r="I20" s="1">
        <v>0</v>
      </c>
      <c r="J20" s="1" t="s">
        <v>3</v>
      </c>
      <c r="K20" s="1">
        <v>0</v>
      </c>
      <c r="L20" s="1" t="s">
        <v>15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06" x14ac:dyDescent="0.2">
      <c r="A22" s="2">
        <v>52</v>
      </c>
      <c r="B22" s="2">
        <f t="shared" ref="B22:G22" si="7">B24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O24</f>
        <v>0</v>
      </c>
      <c r="P22" s="2">
        <f t="shared" si="8"/>
        <v>0</v>
      </c>
      <c r="Q22" s="2">
        <f t="shared" si="8"/>
        <v>0</v>
      </c>
      <c r="R22" s="2">
        <f t="shared" si="8"/>
        <v>0</v>
      </c>
      <c r="S22" s="2">
        <f t="shared" si="8"/>
        <v>0</v>
      </c>
      <c r="T22" s="2">
        <f t="shared" si="8"/>
        <v>0</v>
      </c>
      <c r="U22" s="2">
        <f t="shared" si="8"/>
        <v>0</v>
      </c>
      <c r="V22" s="2">
        <f t="shared" si="8"/>
        <v>0</v>
      </c>
      <c r="W22" s="2">
        <f t="shared" si="8"/>
        <v>0</v>
      </c>
      <c r="X22" s="2">
        <f t="shared" si="8"/>
        <v>0</v>
      </c>
      <c r="Y22" s="2">
        <f t="shared" si="8"/>
        <v>0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0</v>
      </c>
      <c r="AS22" s="2">
        <f t="shared" si="8"/>
        <v>0</v>
      </c>
      <c r="AT22" s="2">
        <f t="shared" si="8"/>
        <v>0</v>
      </c>
      <c r="AU22" s="2">
        <f t="shared" ref="AU22:BZ22" si="9">AU24</f>
        <v>0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06" x14ac:dyDescent="0.2">
      <c r="A24" s="2">
        <v>51</v>
      </c>
      <c r="B24" s="2">
        <f>B20</f>
        <v>0</v>
      </c>
      <c r="C24" s="2">
        <f>A20</f>
        <v>3</v>
      </c>
      <c r="D24" s="2">
        <f>ROW(A20)</f>
        <v>20</v>
      </c>
      <c r="E24" s="2"/>
      <c r="F24" s="2" t="str">
        <f>IF(F20&lt;&gt;"",F20,"")</f>
        <v/>
      </c>
      <c r="G24" s="2" t="str">
        <f>IF(G20&lt;&gt;"",G20,"")</f>
        <v>Новая локальная смета</v>
      </c>
      <c r="H24" s="2">
        <v>0</v>
      </c>
      <c r="I24" s="2"/>
      <c r="J24" s="2"/>
      <c r="K24" s="2"/>
      <c r="L24" s="2"/>
      <c r="M24" s="2"/>
      <c r="N24" s="2"/>
      <c r="O24" s="2">
        <f t="shared" ref="O24:Y24" si="14">AB24</f>
        <v>0</v>
      </c>
      <c r="P24" s="2">
        <f t="shared" si="14"/>
        <v>0</v>
      </c>
      <c r="Q24" s="2">
        <f t="shared" si="14"/>
        <v>0</v>
      </c>
      <c r="R24" s="2">
        <f t="shared" si="14"/>
        <v>0</v>
      </c>
      <c r="S24" s="2">
        <f t="shared" si="14"/>
        <v>0</v>
      </c>
      <c r="T24" s="2">
        <f t="shared" si="14"/>
        <v>0</v>
      </c>
      <c r="U24" s="2">
        <f t="shared" si="14"/>
        <v>0</v>
      </c>
      <c r="V24" s="2">
        <f t="shared" si="14"/>
        <v>0</v>
      </c>
      <c r="W24" s="2">
        <f t="shared" si="14"/>
        <v>0</v>
      </c>
      <c r="X24" s="2">
        <f t="shared" si="14"/>
        <v>0</v>
      </c>
      <c r="Y24" s="2">
        <f t="shared" si="14"/>
        <v>0</v>
      </c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>
        <f t="shared" ref="AO24:BD24" si="15">BX24</f>
        <v>0</v>
      </c>
      <c r="AP24" s="2">
        <f t="shared" si="15"/>
        <v>0</v>
      </c>
      <c r="AQ24" s="2">
        <f t="shared" si="15"/>
        <v>0</v>
      </c>
      <c r="AR24" s="2">
        <f t="shared" si="15"/>
        <v>0</v>
      </c>
      <c r="AS24" s="2">
        <f t="shared" si="15"/>
        <v>0</v>
      </c>
      <c r="AT24" s="2">
        <f t="shared" si="15"/>
        <v>0</v>
      </c>
      <c r="AU24" s="2">
        <f t="shared" si="15"/>
        <v>0</v>
      </c>
      <c r="AV24" s="2">
        <f t="shared" si="15"/>
        <v>0</v>
      </c>
      <c r="AW24" s="2">
        <f t="shared" si="15"/>
        <v>0</v>
      </c>
      <c r="AX24" s="2">
        <f t="shared" si="15"/>
        <v>0</v>
      </c>
      <c r="AY24" s="2">
        <f t="shared" si="15"/>
        <v>0</v>
      </c>
      <c r="AZ24" s="2">
        <f t="shared" si="15"/>
        <v>0</v>
      </c>
      <c r="BA24" s="2">
        <f t="shared" si="15"/>
        <v>0</v>
      </c>
      <c r="BB24" s="2">
        <f t="shared" si="15"/>
        <v>0</v>
      </c>
      <c r="BC24" s="2">
        <f t="shared" si="15"/>
        <v>0</v>
      </c>
      <c r="BD24" s="2">
        <f t="shared" si="15"/>
        <v>0</v>
      </c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>
        <v>0</v>
      </c>
    </row>
    <row r="26" spans="1:206" x14ac:dyDescent="0.2">
      <c r="A26" s="4">
        <v>50</v>
      </c>
      <c r="B26" s="4">
        <v>0</v>
      </c>
      <c r="C26" s="4">
        <v>0</v>
      </c>
      <c r="D26" s="4">
        <v>1</v>
      </c>
      <c r="E26" s="4">
        <v>201</v>
      </c>
      <c r="F26" s="4">
        <f>ROUND(Source!O24,O26)</f>
        <v>0</v>
      </c>
      <c r="G26" s="4" t="s">
        <v>16</v>
      </c>
      <c r="H26" s="4" t="s">
        <v>17</v>
      </c>
      <c r="I26" s="4"/>
      <c r="J26" s="4"/>
      <c r="K26" s="4">
        <v>201</v>
      </c>
      <c r="L26" s="4">
        <v>1</v>
      </c>
      <c r="M26" s="4">
        <v>3</v>
      </c>
      <c r="N26" s="4" t="s">
        <v>3</v>
      </c>
      <c r="O26" s="4">
        <v>0</v>
      </c>
      <c r="P26" s="4"/>
      <c r="Q26" s="4"/>
      <c r="R26" s="4"/>
      <c r="S26" s="4"/>
      <c r="T26" s="4"/>
      <c r="U26" s="4"/>
      <c r="V26" s="4"/>
      <c r="W26" s="4">
        <v>0</v>
      </c>
      <c r="X26" s="4">
        <v>1</v>
      </c>
      <c r="Y26" s="4">
        <v>0</v>
      </c>
      <c r="Z26" s="4"/>
      <c r="AA26" s="4"/>
      <c r="AB26" s="4"/>
    </row>
    <row r="27" spans="1:206" x14ac:dyDescent="0.2">
      <c r="A27" s="4">
        <v>50</v>
      </c>
      <c r="B27" s="4">
        <v>0</v>
      </c>
      <c r="C27" s="4">
        <v>0</v>
      </c>
      <c r="D27" s="4">
        <v>1</v>
      </c>
      <c r="E27" s="4">
        <v>202</v>
      </c>
      <c r="F27" s="4">
        <f>ROUND(Source!P24,O27)</f>
        <v>0</v>
      </c>
      <c r="G27" s="4" t="s">
        <v>18</v>
      </c>
      <c r="H27" s="4" t="s">
        <v>19</v>
      </c>
      <c r="I27" s="4"/>
      <c r="J27" s="4"/>
      <c r="K27" s="4">
        <v>202</v>
      </c>
      <c r="L27" s="4">
        <v>2</v>
      </c>
      <c r="M27" s="4">
        <v>3</v>
      </c>
      <c r="N27" s="4" t="s">
        <v>3</v>
      </c>
      <c r="O27" s="4">
        <v>0</v>
      </c>
      <c r="P27" s="4"/>
      <c r="Q27" s="4"/>
      <c r="R27" s="4"/>
      <c r="S27" s="4"/>
      <c r="T27" s="4"/>
      <c r="U27" s="4"/>
      <c r="V27" s="4"/>
      <c r="W27" s="4">
        <v>0</v>
      </c>
      <c r="X27" s="4">
        <v>1</v>
      </c>
      <c r="Y27" s="4">
        <v>0</v>
      </c>
      <c r="Z27" s="4"/>
      <c r="AA27" s="4"/>
      <c r="AB27" s="4"/>
    </row>
    <row r="28" spans="1:206" x14ac:dyDescent="0.2">
      <c r="A28" s="4">
        <v>50</v>
      </c>
      <c r="B28" s="4">
        <v>0</v>
      </c>
      <c r="C28" s="4">
        <v>0</v>
      </c>
      <c r="D28" s="4">
        <v>1</v>
      </c>
      <c r="E28" s="4">
        <v>222</v>
      </c>
      <c r="F28" s="4">
        <f>ROUND(Source!AO24,O28)</f>
        <v>0</v>
      </c>
      <c r="G28" s="4" t="s">
        <v>20</v>
      </c>
      <c r="H28" s="4" t="s">
        <v>21</v>
      </c>
      <c r="I28" s="4"/>
      <c r="J28" s="4"/>
      <c r="K28" s="4">
        <v>222</v>
      </c>
      <c r="L28" s="4">
        <v>3</v>
      </c>
      <c r="M28" s="4">
        <v>3</v>
      </c>
      <c r="N28" s="4" t="s">
        <v>3</v>
      </c>
      <c r="O28" s="4">
        <v>0</v>
      </c>
      <c r="P28" s="4"/>
      <c r="Q28" s="4"/>
      <c r="R28" s="4"/>
      <c r="S28" s="4"/>
      <c r="T28" s="4"/>
      <c r="U28" s="4"/>
      <c r="V28" s="4"/>
      <c r="W28" s="4">
        <v>0</v>
      </c>
      <c r="X28" s="4">
        <v>1</v>
      </c>
      <c r="Y28" s="4">
        <v>0</v>
      </c>
      <c r="Z28" s="4"/>
      <c r="AA28" s="4"/>
      <c r="AB28" s="4"/>
    </row>
    <row r="29" spans="1:206" x14ac:dyDescent="0.2">
      <c r="A29" s="4">
        <v>50</v>
      </c>
      <c r="B29" s="4">
        <v>0</v>
      </c>
      <c r="C29" s="4">
        <v>0</v>
      </c>
      <c r="D29" s="4">
        <v>1</v>
      </c>
      <c r="E29" s="4">
        <v>225</v>
      </c>
      <c r="F29" s="4">
        <f>ROUND(Source!AV24,O29)</f>
        <v>0</v>
      </c>
      <c r="G29" s="4" t="s">
        <v>22</v>
      </c>
      <c r="H29" s="4" t="s">
        <v>23</v>
      </c>
      <c r="I29" s="4"/>
      <c r="J29" s="4"/>
      <c r="K29" s="4">
        <v>225</v>
      </c>
      <c r="L29" s="4">
        <v>4</v>
      </c>
      <c r="M29" s="4">
        <v>3</v>
      </c>
      <c r="N29" s="4" t="s">
        <v>3</v>
      </c>
      <c r="O29" s="4">
        <v>0</v>
      </c>
      <c r="P29" s="4"/>
      <c r="Q29" s="4"/>
      <c r="R29" s="4"/>
      <c r="S29" s="4"/>
      <c r="T29" s="4"/>
      <c r="U29" s="4"/>
      <c r="V29" s="4"/>
      <c r="W29" s="4">
        <v>0</v>
      </c>
      <c r="X29" s="4">
        <v>1</v>
      </c>
      <c r="Y29" s="4">
        <v>0</v>
      </c>
      <c r="Z29" s="4"/>
      <c r="AA29" s="4"/>
      <c r="AB29" s="4"/>
    </row>
    <row r="30" spans="1:206" x14ac:dyDescent="0.2">
      <c r="A30" s="4">
        <v>50</v>
      </c>
      <c r="B30" s="4">
        <v>0</v>
      </c>
      <c r="C30" s="4">
        <v>0</v>
      </c>
      <c r="D30" s="4">
        <v>1</v>
      </c>
      <c r="E30" s="4">
        <v>226</v>
      </c>
      <c r="F30" s="4">
        <f>ROUND(Source!AW24,O30)</f>
        <v>0</v>
      </c>
      <c r="G30" s="4" t="s">
        <v>24</v>
      </c>
      <c r="H30" s="4" t="s">
        <v>25</v>
      </c>
      <c r="I30" s="4"/>
      <c r="J30" s="4"/>
      <c r="K30" s="4">
        <v>226</v>
      </c>
      <c r="L30" s="4">
        <v>5</v>
      </c>
      <c r="M30" s="4">
        <v>3</v>
      </c>
      <c r="N30" s="4" t="s">
        <v>3</v>
      </c>
      <c r="O30" s="4">
        <v>0</v>
      </c>
      <c r="P30" s="4"/>
      <c r="Q30" s="4"/>
      <c r="R30" s="4"/>
      <c r="S30" s="4"/>
      <c r="T30" s="4"/>
      <c r="U30" s="4"/>
      <c r="V30" s="4"/>
      <c r="W30" s="4">
        <v>0</v>
      </c>
      <c r="X30" s="4">
        <v>1</v>
      </c>
      <c r="Y30" s="4">
        <v>0</v>
      </c>
      <c r="Z30" s="4"/>
      <c r="AA30" s="4"/>
      <c r="AB30" s="4"/>
    </row>
    <row r="31" spans="1:206" x14ac:dyDescent="0.2">
      <c r="A31" s="4">
        <v>50</v>
      </c>
      <c r="B31" s="4">
        <v>0</v>
      </c>
      <c r="C31" s="4">
        <v>0</v>
      </c>
      <c r="D31" s="4">
        <v>1</v>
      </c>
      <c r="E31" s="4">
        <v>227</v>
      </c>
      <c r="F31" s="4">
        <f>ROUND(Source!AX24,O31)</f>
        <v>0</v>
      </c>
      <c r="G31" s="4" t="s">
        <v>26</v>
      </c>
      <c r="H31" s="4" t="s">
        <v>27</v>
      </c>
      <c r="I31" s="4"/>
      <c r="J31" s="4"/>
      <c r="K31" s="4">
        <v>227</v>
      </c>
      <c r="L31" s="4">
        <v>6</v>
      </c>
      <c r="M31" s="4">
        <v>3</v>
      </c>
      <c r="N31" s="4" t="s">
        <v>3</v>
      </c>
      <c r="O31" s="4">
        <v>0</v>
      </c>
      <c r="P31" s="4"/>
      <c r="Q31" s="4"/>
      <c r="R31" s="4"/>
      <c r="S31" s="4"/>
      <c r="T31" s="4"/>
      <c r="U31" s="4"/>
      <c r="V31" s="4"/>
      <c r="W31" s="4">
        <v>0</v>
      </c>
      <c r="X31" s="4">
        <v>1</v>
      </c>
      <c r="Y31" s="4">
        <v>0</v>
      </c>
      <c r="Z31" s="4"/>
      <c r="AA31" s="4"/>
      <c r="AB31" s="4"/>
    </row>
    <row r="32" spans="1:206" x14ac:dyDescent="0.2">
      <c r="A32" s="4">
        <v>50</v>
      </c>
      <c r="B32" s="4">
        <v>0</v>
      </c>
      <c r="C32" s="4">
        <v>0</v>
      </c>
      <c r="D32" s="4">
        <v>1</v>
      </c>
      <c r="E32" s="4">
        <v>228</v>
      </c>
      <c r="F32" s="4">
        <f>ROUND(Source!AY24,O32)</f>
        <v>0</v>
      </c>
      <c r="G32" s="4" t="s">
        <v>28</v>
      </c>
      <c r="H32" s="4" t="s">
        <v>29</v>
      </c>
      <c r="I32" s="4"/>
      <c r="J32" s="4"/>
      <c r="K32" s="4">
        <v>228</v>
      </c>
      <c r="L32" s="4">
        <v>7</v>
      </c>
      <c r="M32" s="4">
        <v>3</v>
      </c>
      <c r="N32" s="4" t="s">
        <v>3</v>
      </c>
      <c r="O32" s="4">
        <v>0</v>
      </c>
      <c r="P32" s="4"/>
      <c r="Q32" s="4"/>
      <c r="R32" s="4"/>
      <c r="S32" s="4"/>
      <c r="T32" s="4"/>
      <c r="U32" s="4"/>
      <c r="V32" s="4"/>
      <c r="W32" s="4">
        <v>0</v>
      </c>
      <c r="X32" s="4">
        <v>1</v>
      </c>
      <c r="Y32" s="4">
        <v>0</v>
      </c>
      <c r="Z32" s="4"/>
      <c r="AA32" s="4"/>
      <c r="AB32" s="4"/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216</v>
      </c>
      <c r="F33" s="4">
        <f>ROUND(Source!AP24,O33)</f>
        <v>0</v>
      </c>
      <c r="G33" s="4" t="s">
        <v>30</v>
      </c>
      <c r="H33" s="4" t="s">
        <v>31</v>
      </c>
      <c r="I33" s="4"/>
      <c r="J33" s="4"/>
      <c r="K33" s="4">
        <v>216</v>
      </c>
      <c r="L33" s="4">
        <v>8</v>
      </c>
      <c r="M33" s="4">
        <v>3</v>
      </c>
      <c r="N33" s="4" t="s">
        <v>3</v>
      </c>
      <c r="O33" s="4">
        <v>0</v>
      </c>
      <c r="P33" s="4"/>
      <c r="Q33" s="4"/>
      <c r="R33" s="4"/>
      <c r="S33" s="4"/>
      <c r="T33" s="4"/>
      <c r="U33" s="4"/>
      <c r="V33" s="4"/>
      <c r="W33" s="4">
        <v>0</v>
      </c>
      <c r="X33" s="4">
        <v>1</v>
      </c>
      <c r="Y33" s="4">
        <v>0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223</v>
      </c>
      <c r="F34" s="4">
        <f>ROUND(Source!AQ24,O34)</f>
        <v>0</v>
      </c>
      <c r="G34" s="4" t="s">
        <v>32</v>
      </c>
      <c r="H34" s="4" t="s">
        <v>33</v>
      </c>
      <c r="I34" s="4"/>
      <c r="J34" s="4"/>
      <c r="K34" s="4">
        <v>223</v>
      </c>
      <c r="L34" s="4">
        <v>9</v>
      </c>
      <c r="M34" s="4">
        <v>3</v>
      </c>
      <c r="N34" s="4" t="s">
        <v>3</v>
      </c>
      <c r="O34" s="4">
        <v>0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229</v>
      </c>
      <c r="F35" s="4">
        <f>ROUND(Source!AZ24,O35)</f>
        <v>0</v>
      </c>
      <c r="G35" s="4" t="s">
        <v>34</v>
      </c>
      <c r="H35" s="4" t="s">
        <v>35</v>
      </c>
      <c r="I35" s="4"/>
      <c r="J35" s="4"/>
      <c r="K35" s="4">
        <v>229</v>
      </c>
      <c r="L35" s="4">
        <v>10</v>
      </c>
      <c r="M35" s="4">
        <v>3</v>
      </c>
      <c r="N35" s="4" t="s">
        <v>3</v>
      </c>
      <c r="O35" s="4">
        <v>0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203</v>
      </c>
      <c r="F36" s="4">
        <f>ROUND(Source!Q24,O36)</f>
        <v>0</v>
      </c>
      <c r="G36" s="4" t="s">
        <v>36</v>
      </c>
      <c r="H36" s="4" t="s">
        <v>37</v>
      </c>
      <c r="I36" s="4"/>
      <c r="J36" s="4"/>
      <c r="K36" s="4">
        <v>203</v>
      </c>
      <c r="L36" s="4">
        <v>11</v>
      </c>
      <c r="M36" s="4">
        <v>3</v>
      </c>
      <c r="N36" s="4" t="s">
        <v>3</v>
      </c>
      <c r="O36" s="4">
        <v>0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231</v>
      </c>
      <c r="F37" s="4">
        <f>ROUND(Source!BB24,O37)</f>
        <v>0</v>
      </c>
      <c r="G37" s="4" t="s">
        <v>38</v>
      </c>
      <c r="H37" s="4" t="s">
        <v>39</v>
      </c>
      <c r="I37" s="4"/>
      <c r="J37" s="4"/>
      <c r="K37" s="4">
        <v>231</v>
      </c>
      <c r="L37" s="4">
        <v>12</v>
      </c>
      <c r="M37" s="4">
        <v>3</v>
      </c>
      <c r="N37" s="4" t="s">
        <v>3</v>
      </c>
      <c r="O37" s="4">
        <v>0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204</v>
      </c>
      <c r="F38" s="4">
        <f>ROUND(Source!R24,O38)</f>
        <v>0</v>
      </c>
      <c r="G38" s="4" t="s">
        <v>40</v>
      </c>
      <c r="H38" s="4" t="s">
        <v>41</v>
      </c>
      <c r="I38" s="4"/>
      <c r="J38" s="4"/>
      <c r="K38" s="4">
        <v>204</v>
      </c>
      <c r="L38" s="4">
        <v>13</v>
      </c>
      <c r="M38" s="4">
        <v>3</v>
      </c>
      <c r="N38" s="4" t="s">
        <v>3</v>
      </c>
      <c r="O38" s="4">
        <v>0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205</v>
      </c>
      <c r="F39" s="4">
        <f>ROUND(Source!S24,O39)</f>
        <v>0</v>
      </c>
      <c r="G39" s="4" t="s">
        <v>42</v>
      </c>
      <c r="H39" s="4" t="s">
        <v>43</v>
      </c>
      <c r="I39" s="4"/>
      <c r="J39" s="4"/>
      <c r="K39" s="4">
        <v>205</v>
      </c>
      <c r="L39" s="4">
        <v>14</v>
      </c>
      <c r="M39" s="4">
        <v>3</v>
      </c>
      <c r="N39" s="4" t="s">
        <v>3</v>
      </c>
      <c r="O39" s="4">
        <v>0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232</v>
      </c>
      <c r="F40" s="4">
        <f>ROUND(Source!BC24,O40)</f>
        <v>0</v>
      </c>
      <c r="G40" s="4" t="s">
        <v>44</v>
      </c>
      <c r="H40" s="4" t="s">
        <v>45</v>
      </c>
      <c r="I40" s="4"/>
      <c r="J40" s="4"/>
      <c r="K40" s="4">
        <v>232</v>
      </c>
      <c r="L40" s="4">
        <v>15</v>
      </c>
      <c r="M40" s="4">
        <v>3</v>
      </c>
      <c r="N40" s="4" t="s">
        <v>3</v>
      </c>
      <c r="O40" s="4">
        <v>0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214</v>
      </c>
      <c r="F41" s="4">
        <f>ROUND(Source!AS24,O41)</f>
        <v>0</v>
      </c>
      <c r="G41" s="4" t="s">
        <v>46</v>
      </c>
      <c r="H41" s="4" t="s">
        <v>47</v>
      </c>
      <c r="I41" s="4"/>
      <c r="J41" s="4"/>
      <c r="K41" s="4">
        <v>214</v>
      </c>
      <c r="L41" s="4">
        <v>16</v>
      </c>
      <c r="M41" s="4">
        <v>3</v>
      </c>
      <c r="N41" s="4" t="s">
        <v>3</v>
      </c>
      <c r="O41" s="4">
        <v>0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215</v>
      </c>
      <c r="F42" s="4">
        <f>ROUND(Source!AT24,O42)</f>
        <v>0</v>
      </c>
      <c r="G42" s="4" t="s">
        <v>48</v>
      </c>
      <c r="H42" s="4" t="s">
        <v>49</v>
      </c>
      <c r="I42" s="4"/>
      <c r="J42" s="4"/>
      <c r="K42" s="4">
        <v>215</v>
      </c>
      <c r="L42" s="4">
        <v>17</v>
      </c>
      <c r="M42" s="4">
        <v>3</v>
      </c>
      <c r="N42" s="4" t="s">
        <v>3</v>
      </c>
      <c r="O42" s="4">
        <v>0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217</v>
      </c>
      <c r="F43" s="4">
        <f>ROUND(Source!AU24,O43)</f>
        <v>0</v>
      </c>
      <c r="G43" s="4" t="s">
        <v>50</v>
      </c>
      <c r="H43" s="4" t="s">
        <v>51</v>
      </c>
      <c r="I43" s="4"/>
      <c r="J43" s="4"/>
      <c r="K43" s="4">
        <v>217</v>
      </c>
      <c r="L43" s="4">
        <v>18</v>
      </c>
      <c r="M43" s="4">
        <v>3</v>
      </c>
      <c r="N43" s="4" t="s">
        <v>3</v>
      </c>
      <c r="O43" s="4">
        <v>0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230</v>
      </c>
      <c r="F44" s="4">
        <f>ROUND(Source!BA24,O44)</f>
        <v>0</v>
      </c>
      <c r="G44" s="4" t="s">
        <v>52</v>
      </c>
      <c r="H44" s="4" t="s">
        <v>53</v>
      </c>
      <c r="I44" s="4"/>
      <c r="J44" s="4"/>
      <c r="K44" s="4">
        <v>230</v>
      </c>
      <c r="L44" s="4">
        <v>19</v>
      </c>
      <c r="M44" s="4">
        <v>3</v>
      </c>
      <c r="N44" s="4" t="s">
        <v>3</v>
      </c>
      <c r="O44" s="4">
        <v>0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206</v>
      </c>
      <c r="F45" s="4">
        <f>ROUND(Source!T24,O45)</f>
        <v>0</v>
      </c>
      <c r="G45" s="4" t="s">
        <v>54</v>
      </c>
      <c r="H45" s="4" t="s">
        <v>55</v>
      </c>
      <c r="I45" s="4"/>
      <c r="J45" s="4"/>
      <c r="K45" s="4">
        <v>206</v>
      </c>
      <c r="L45" s="4">
        <v>20</v>
      </c>
      <c r="M45" s="4">
        <v>3</v>
      </c>
      <c r="N45" s="4" t="s">
        <v>3</v>
      </c>
      <c r="O45" s="4">
        <v>0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207</v>
      </c>
      <c r="F46" s="4">
        <f>ROUND(Source!U24,O46)</f>
        <v>0</v>
      </c>
      <c r="G46" s="4" t="s">
        <v>56</v>
      </c>
      <c r="H46" s="4" t="s">
        <v>57</v>
      </c>
      <c r="I46" s="4"/>
      <c r="J46" s="4"/>
      <c r="K46" s="4">
        <v>207</v>
      </c>
      <c r="L46" s="4">
        <v>21</v>
      </c>
      <c r="M46" s="4">
        <v>3</v>
      </c>
      <c r="N46" s="4" t="s">
        <v>3</v>
      </c>
      <c r="O46" s="4">
        <v>7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208</v>
      </c>
      <c r="F47" s="4">
        <f>ROUND(Source!V24,O47)</f>
        <v>0</v>
      </c>
      <c r="G47" s="4" t="s">
        <v>58</v>
      </c>
      <c r="H47" s="4" t="s">
        <v>59</v>
      </c>
      <c r="I47" s="4"/>
      <c r="J47" s="4"/>
      <c r="K47" s="4">
        <v>208</v>
      </c>
      <c r="L47" s="4">
        <v>22</v>
      </c>
      <c r="M47" s="4">
        <v>3</v>
      </c>
      <c r="N47" s="4" t="s">
        <v>3</v>
      </c>
      <c r="O47" s="4">
        <v>7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209</v>
      </c>
      <c r="F48" s="4">
        <f>ROUND(Source!W24,O48)</f>
        <v>0</v>
      </c>
      <c r="G48" s="4" t="s">
        <v>60</v>
      </c>
      <c r="H48" s="4" t="s">
        <v>61</v>
      </c>
      <c r="I48" s="4"/>
      <c r="J48" s="4"/>
      <c r="K48" s="4">
        <v>209</v>
      </c>
      <c r="L48" s="4">
        <v>23</v>
      </c>
      <c r="M48" s="4">
        <v>3</v>
      </c>
      <c r="N48" s="4" t="s">
        <v>3</v>
      </c>
      <c r="O48" s="4">
        <v>0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45" x14ac:dyDescent="0.2">
      <c r="A49" s="4">
        <v>50</v>
      </c>
      <c r="B49" s="4">
        <v>0</v>
      </c>
      <c r="C49" s="4">
        <v>0</v>
      </c>
      <c r="D49" s="4">
        <v>1</v>
      </c>
      <c r="E49" s="4">
        <v>233</v>
      </c>
      <c r="F49" s="4">
        <f>ROUND(Source!BD24,O49)</f>
        <v>0</v>
      </c>
      <c r="G49" s="4" t="s">
        <v>62</v>
      </c>
      <c r="H49" s="4" t="s">
        <v>63</v>
      </c>
      <c r="I49" s="4"/>
      <c r="J49" s="4"/>
      <c r="K49" s="4">
        <v>233</v>
      </c>
      <c r="L49" s="4">
        <v>24</v>
      </c>
      <c r="M49" s="4">
        <v>3</v>
      </c>
      <c r="N49" s="4" t="s">
        <v>3</v>
      </c>
      <c r="O49" s="4">
        <v>0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45" x14ac:dyDescent="0.2">
      <c r="A50" s="4">
        <v>50</v>
      </c>
      <c r="B50" s="4">
        <v>0</v>
      </c>
      <c r="C50" s="4">
        <v>0</v>
      </c>
      <c r="D50" s="4">
        <v>1</v>
      </c>
      <c r="E50" s="4">
        <v>210</v>
      </c>
      <c r="F50" s="4">
        <f>ROUND(Source!X24,O50)</f>
        <v>0</v>
      </c>
      <c r="G50" s="4" t="s">
        <v>64</v>
      </c>
      <c r="H50" s="4" t="s">
        <v>65</v>
      </c>
      <c r="I50" s="4"/>
      <c r="J50" s="4"/>
      <c r="K50" s="4">
        <v>210</v>
      </c>
      <c r="L50" s="4">
        <v>25</v>
      </c>
      <c r="M50" s="4">
        <v>3</v>
      </c>
      <c r="N50" s="4" t="s">
        <v>3</v>
      </c>
      <c r="O50" s="4">
        <v>0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45" x14ac:dyDescent="0.2">
      <c r="A51" s="4">
        <v>50</v>
      </c>
      <c r="B51" s="4">
        <v>0</v>
      </c>
      <c r="C51" s="4">
        <v>0</v>
      </c>
      <c r="D51" s="4">
        <v>1</v>
      </c>
      <c r="E51" s="4">
        <v>211</v>
      </c>
      <c r="F51" s="4">
        <f>ROUND(Source!Y24,O51)</f>
        <v>0</v>
      </c>
      <c r="G51" s="4" t="s">
        <v>66</v>
      </c>
      <c r="H51" s="4" t="s">
        <v>67</v>
      </c>
      <c r="I51" s="4"/>
      <c r="J51" s="4"/>
      <c r="K51" s="4">
        <v>211</v>
      </c>
      <c r="L51" s="4">
        <v>26</v>
      </c>
      <c r="M51" s="4">
        <v>3</v>
      </c>
      <c r="N51" s="4" t="s">
        <v>3</v>
      </c>
      <c r="O51" s="4">
        <v>0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45" x14ac:dyDescent="0.2">
      <c r="A52" s="4">
        <v>50</v>
      </c>
      <c r="B52" s="4">
        <v>0</v>
      </c>
      <c r="C52" s="4">
        <v>0</v>
      </c>
      <c r="D52" s="4">
        <v>1</v>
      </c>
      <c r="E52" s="4">
        <v>224</v>
      </c>
      <c r="F52" s="4">
        <f>ROUND(Source!AR24,O52)</f>
        <v>0</v>
      </c>
      <c r="G52" s="4" t="s">
        <v>68</v>
      </c>
      <c r="H52" s="4" t="s">
        <v>69</v>
      </c>
      <c r="I52" s="4"/>
      <c r="J52" s="4"/>
      <c r="K52" s="4">
        <v>224</v>
      </c>
      <c r="L52" s="4">
        <v>27</v>
      </c>
      <c r="M52" s="4">
        <v>3</v>
      </c>
      <c r="N52" s="4" t="s">
        <v>3</v>
      </c>
      <c r="O52" s="4">
        <v>0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4" spans="1:245" x14ac:dyDescent="0.2">
      <c r="A54" s="1">
        <v>3</v>
      </c>
      <c r="B54" s="1">
        <v>1</v>
      </c>
      <c r="C54" s="1"/>
      <c r="D54" s="1">
        <f>ROW(A338)</f>
        <v>338</v>
      </c>
      <c r="E54" s="1"/>
      <c r="F54" s="1" t="s">
        <v>15</v>
      </c>
      <c r="G54" s="1" t="s">
        <v>70</v>
      </c>
      <c r="H54" s="1" t="s">
        <v>3</v>
      </c>
      <c r="I54" s="1">
        <v>0</v>
      </c>
      <c r="J54" s="1" t="s">
        <v>3</v>
      </c>
      <c r="K54" s="1">
        <v>-1</v>
      </c>
      <c r="L54" s="1" t="s">
        <v>15</v>
      </c>
      <c r="M54" s="1" t="s">
        <v>3</v>
      </c>
      <c r="N54" s="1"/>
      <c r="O54" s="1"/>
      <c r="P54" s="1"/>
      <c r="Q54" s="1"/>
      <c r="R54" s="1"/>
      <c r="S54" s="1">
        <v>0</v>
      </c>
      <c r="T54" s="1"/>
      <c r="U54" s="1" t="s">
        <v>3</v>
      </c>
      <c r="V54" s="1">
        <v>0</v>
      </c>
      <c r="W54" s="1"/>
      <c r="X54" s="1"/>
      <c r="Y54" s="1"/>
      <c r="Z54" s="1"/>
      <c r="AA54" s="1"/>
      <c r="AB54" s="1" t="s">
        <v>3</v>
      </c>
      <c r="AC54" s="1" t="s">
        <v>3</v>
      </c>
      <c r="AD54" s="1" t="s">
        <v>3</v>
      </c>
      <c r="AE54" s="1" t="s">
        <v>3</v>
      </c>
      <c r="AF54" s="1" t="s">
        <v>3</v>
      </c>
      <c r="AG54" s="1" t="s">
        <v>3</v>
      </c>
      <c r="AH54" s="1"/>
      <c r="AI54" s="1"/>
      <c r="AJ54" s="1"/>
      <c r="AK54" s="1"/>
      <c r="AL54" s="1"/>
      <c r="AM54" s="1"/>
      <c r="AN54" s="1"/>
      <c r="AO54" s="1"/>
      <c r="AP54" s="1" t="s">
        <v>3</v>
      </c>
      <c r="AQ54" s="1" t="s">
        <v>3</v>
      </c>
      <c r="AR54" s="1" t="s">
        <v>3</v>
      </c>
      <c r="AS54" s="1"/>
      <c r="AT54" s="1"/>
      <c r="AU54" s="1"/>
      <c r="AV54" s="1"/>
      <c r="AW54" s="1"/>
      <c r="AX54" s="1"/>
      <c r="AY54" s="1"/>
      <c r="AZ54" s="1" t="s">
        <v>3</v>
      </c>
      <c r="BA54" s="1"/>
      <c r="BB54" s="1" t="s">
        <v>3</v>
      </c>
      <c r="BC54" s="1" t="s">
        <v>3</v>
      </c>
      <c r="BD54" s="1" t="s">
        <v>3</v>
      </c>
      <c r="BE54" s="1" t="s">
        <v>3</v>
      </c>
      <c r="BF54" s="1" t="s">
        <v>3</v>
      </c>
      <c r="BG54" s="1" t="s">
        <v>3</v>
      </c>
      <c r="BH54" s="1" t="s">
        <v>3</v>
      </c>
      <c r="BI54" s="1" t="s">
        <v>3</v>
      </c>
      <c r="BJ54" s="1" t="s">
        <v>3</v>
      </c>
      <c r="BK54" s="1" t="s">
        <v>3</v>
      </c>
      <c r="BL54" s="1" t="s">
        <v>3</v>
      </c>
      <c r="BM54" s="1" t="s">
        <v>3</v>
      </c>
      <c r="BN54" s="1" t="s">
        <v>3</v>
      </c>
      <c r="BO54" s="1" t="s">
        <v>3</v>
      </c>
      <c r="BP54" s="1" t="s">
        <v>3</v>
      </c>
      <c r="BQ54" s="1"/>
      <c r="BR54" s="1"/>
      <c r="BS54" s="1"/>
      <c r="BT54" s="1"/>
      <c r="BU54" s="1"/>
      <c r="BV54" s="1"/>
      <c r="BW54" s="1"/>
      <c r="BX54" s="1">
        <v>0</v>
      </c>
      <c r="BY54" s="1"/>
      <c r="BZ54" s="1"/>
      <c r="CA54" s="1"/>
      <c r="CB54" s="1"/>
      <c r="CC54" s="1"/>
      <c r="CD54" s="1"/>
      <c r="CE54" s="1"/>
      <c r="CF54" s="1">
        <v>0</v>
      </c>
      <c r="CG54" s="1">
        <v>0</v>
      </c>
      <c r="CH54" s="1"/>
      <c r="CI54" s="1" t="s">
        <v>3</v>
      </c>
      <c r="CJ54" s="1" t="s">
        <v>3</v>
      </c>
      <c r="CK54" t="s">
        <v>3</v>
      </c>
      <c r="CL54" t="s">
        <v>3</v>
      </c>
      <c r="CM54" t="s">
        <v>3</v>
      </c>
      <c r="CN54" t="s">
        <v>3</v>
      </c>
      <c r="CO54" t="s">
        <v>3</v>
      </c>
      <c r="CP54" t="s">
        <v>3</v>
      </c>
      <c r="CQ54" t="s">
        <v>3</v>
      </c>
    </row>
    <row r="56" spans="1:245" x14ac:dyDescent="0.2">
      <c r="A56" s="2">
        <v>52</v>
      </c>
      <c r="B56" s="2">
        <f t="shared" ref="B56:G56" si="16">B338</f>
        <v>1</v>
      </c>
      <c r="C56" s="2">
        <f t="shared" si="16"/>
        <v>3</v>
      </c>
      <c r="D56" s="2">
        <f t="shared" si="16"/>
        <v>54</v>
      </c>
      <c r="E56" s="2">
        <f t="shared" si="16"/>
        <v>0</v>
      </c>
      <c r="F56" s="2" t="str">
        <f t="shared" si="16"/>
        <v>Новая локальная смета</v>
      </c>
      <c r="G56" s="2" t="str">
        <f t="shared" si="16"/>
        <v>Реконструкция КТП-1402 по адресу: г.Москва, поселение Щаповское, с.Ознобишино</v>
      </c>
      <c r="H56" s="2"/>
      <c r="I56" s="2"/>
      <c r="J56" s="2"/>
      <c r="K56" s="2"/>
      <c r="L56" s="2"/>
      <c r="M56" s="2"/>
      <c r="N56" s="2"/>
      <c r="O56" s="2">
        <f t="shared" ref="O56:AT56" si="17">O338</f>
        <v>2288730.34</v>
      </c>
      <c r="P56" s="2">
        <f t="shared" si="17"/>
        <v>2037423.44</v>
      </c>
      <c r="Q56" s="2">
        <f t="shared" si="17"/>
        <v>33987.69</v>
      </c>
      <c r="R56" s="2">
        <f t="shared" si="17"/>
        <v>15487.29</v>
      </c>
      <c r="S56" s="2">
        <f t="shared" si="17"/>
        <v>201831.92</v>
      </c>
      <c r="T56" s="2">
        <f t="shared" si="17"/>
        <v>0</v>
      </c>
      <c r="U56" s="2">
        <f t="shared" si="17"/>
        <v>372.91467839999996</v>
      </c>
      <c r="V56" s="2">
        <f t="shared" si="17"/>
        <v>25.910122000000001</v>
      </c>
      <c r="W56" s="2">
        <f t="shared" si="17"/>
        <v>0</v>
      </c>
      <c r="X56" s="2">
        <f t="shared" si="17"/>
        <v>190280.14</v>
      </c>
      <c r="Y56" s="2">
        <f t="shared" si="17"/>
        <v>100855.9</v>
      </c>
      <c r="Z56" s="2">
        <f t="shared" si="17"/>
        <v>0</v>
      </c>
      <c r="AA56" s="2">
        <f t="shared" si="17"/>
        <v>0</v>
      </c>
      <c r="AB56" s="2">
        <f t="shared" si="17"/>
        <v>0</v>
      </c>
      <c r="AC56" s="2">
        <f t="shared" si="17"/>
        <v>0</v>
      </c>
      <c r="AD56" s="2">
        <f t="shared" si="17"/>
        <v>0</v>
      </c>
      <c r="AE56" s="2">
        <f t="shared" si="17"/>
        <v>0</v>
      </c>
      <c r="AF56" s="2">
        <f t="shared" si="17"/>
        <v>0</v>
      </c>
      <c r="AG56" s="2">
        <f t="shared" si="17"/>
        <v>0</v>
      </c>
      <c r="AH56" s="2">
        <f t="shared" si="17"/>
        <v>0</v>
      </c>
      <c r="AI56" s="2">
        <f t="shared" si="17"/>
        <v>0</v>
      </c>
      <c r="AJ56" s="2">
        <f t="shared" si="17"/>
        <v>0</v>
      </c>
      <c r="AK56" s="2">
        <f t="shared" si="17"/>
        <v>0</v>
      </c>
      <c r="AL56" s="2">
        <f t="shared" si="17"/>
        <v>0</v>
      </c>
      <c r="AM56" s="2">
        <f t="shared" si="17"/>
        <v>0</v>
      </c>
      <c r="AN56" s="2">
        <f t="shared" si="17"/>
        <v>0</v>
      </c>
      <c r="AO56" s="2">
        <f t="shared" si="17"/>
        <v>0</v>
      </c>
      <c r="AP56" s="2">
        <f t="shared" si="17"/>
        <v>0</v>
      </c>
      <c r="AQ56" s="2">
        <f t="shared" si="17"/>
        <v>0</v>
      </c>
      <c r="AR56" s="2">
        <f t="shared" si="17"/>
        <v>2579866.38</v>
      </c>
      <c r="AS56" s="2">
        <f t="shared" si="17"/>
        <v>2154157.86</v>
      </c>
      <c r="AT56" s="2">
        <f t="shared" si="17"/>
        <v>211389.08</v>
      </c>
      <c r="AU56" s="2">
        <f t="shared" ref="AU56:BZ56" si="18">AU338</f>
        <v>214319.44</v>
      </c>
      <c r="AV56" s="2">
        <f t="shared" si="18"/>
        <v>2037423.44</v>
      </c>
      <c r="AW56" s="2">
        <f t="shared" si="18"/>
        <v>2037423.44</v>
      </c>
      <c r="AX56" s="2">
        <f t="shared" si="18"/>
        <v>0</v>
      </c>
      <c r="AY56" s="2">
        <f t="shared" si="18"/>
        <v>2037423.44</v>
      </c>
      <c r="AZ56" s="2">
        <f t="shared" si="18"/>
        <v>0</v>
      </c>
      <c r="BA56" s="2">
        <f t="shared" si="18"/>
        <v>0</v>
      </c>
      <c r="BB56" s="2">
        <f t="shared" si="18"/>
        <v>0</v>
      </c>
      <c r="BC56" s="2">
        <f t="shared" si="18"/>
        <v>0</v>
      </c>
      <c r="BD56" s="2">
        <f t="shared" si="18"/>
        <v>0</v>
      </c>
      <c r="BE56" s="2">
        <f t="shared" si="18"/>
        <v>0</v>
      </c>
      <c r="BF56" s="2">
        <f t="shared" si="18"/>
        <v>0</v>
      </c>
      <c r="BG56" s="2">
        <f t="shared" si="18"/>
        <v>0</v>
      </c>
      <c r="BH56" s="2">
        <f t="shared" si="18"/>
        <v>0</v>
      </c>
      <c r="BI56" s="2">
        <f t="shared" si="18"/>
        <v>0</v>
      </c>
      <c r="BJ56" s="2">
        <f t="shared" si="18"/>
        <v>0</v>
      </c>
      <c r="BK56" s="2">
        <f t="shared" si="18"/>
        <v>0</v>
      </c>
      <c r="BL56" s="2">
        <f t="shared" si="18"/>
        <v>0</v>
      </c>
      <c r="BM56" s="2">
        <f t="shared" si="18"/>
        <v>0</v>
      </c>
      <c r="BN56" s="2">
        <f t="shared" si="18"/>
        <v>0</v>
      </c>
      <c r="BO56" s="2">
        <f t="shared" si="18"/>
        <v>0</v>
      </c>
      <c r="BP56" s="2">
        <f t="shared" si="18"/>
        <v>0</v>
      </c>
      <c r="BQ56" s="2">
        <f t="shared" si="18"/>
        <v>0</v>
      </c>
      <c r="BR56" s="2">
        <f t="shared" si="18"/>
        <v>0</v>
      </c>
      <c r="BS56" s="2">
        <f t="shared" si="18"/>
        <v>0</v>
      </c>
      <c r="BT56" s="2">
        <f t="shared" si="18"/>
        <v>0</v>
      </c>
      <c r="BU56" s="2">
        <f t="shared" si="18"/>
        <v>0</v>
      </c>
      <c r="BV56" s="2">
        <f t="shared" si="18"/>
        <v>0</v>
      </c>
      <c r="BW56" s="2">
        <f t="shared" si="18"/>
        <v>0</v>
      </c>
      <c r="BX56" s="2">
        <f t="shared" si="18"/>
        <v>0</v>
      </c>
      <c r="BY56" s="2">
        <f t="shared" si="18"/>
        <v>0</v>
      </c>
      <c r="BZ56" s="2">
        <f t="shared" si="18"/>
        <v>0</v>
      </c>
      <c r="CA56" s="2">
        <f t="shared" ref="CA56:DF56" si="19">CA338</f>
        <v>0</v>
      </c>
      <c r="CB56" s="2">
        <f t="shared" si="19"/>
        <v>0</v>
      </c>
      <c r="CC56" s="2">
        <f t="shared" si="19"/>
        <v>0</v>
      </c>
      <c r="CD56" s="2">
        <f t="shared" si="19"/>
        <v>0</v>
      </c>
      <c r="CE56" s="2">
        <f t="shared" si="19"/>
        <v>0</v>
      </c>
      <c r="CF56" s="2">
        <f t="shared" si="19"/>
        <v>0</v>
      </c>
      <c r="CG56" s="2">
        <f t="shared" si="19"/>
        <v>0</v>
      </c>
      <c r="CH56" s="2">
        <f t="shared" si="19"/>
        <v>0</v>
      </c>
      <c r="CI56" s="2">
        <f t="shared" si="19"/>
        <v>0</v>
      </c>
      <c r="CJ56" s="2">
        <f t="shared" si="19"/>
        <v>0</v>
      </c>
      <c r="CK56" s="2">
        <f t="shared" si="19"/>
        <v>0</v>
      </c>
      <c r="CL56" s="2">
        <f t="shared" si="19"/>
        <v>0</v>
      </c>
      <c r="CM56" s="2">
        <f t="shared" si="19"/>
        <v>0</v>
      </c>
      <c r="CN56" s="2">
        <f t="shared" si="19"/>
        <v>0</v>
      </c>
      <c r="CO56" s="2">
        <f t="shared" si="19"/>
        <v>0</v>
      </c>
      <c r="CP56" s="2">
        <f t="shared" si="19"/>
        <v>0</v>
      </c>
      <c r="CQ56" s="2">
        <f t="shared" si="19"/>
        <v>0</v>
      </c>
      <c r="CR56" s="2">
        <f t="shared" si="19"/>
        <v>0</v>
      </c>
      <c r="CS56" s="2">
        <f t="shared" si="19"/>
        <v>0</v>
      </c>
      <c r="CT56" s="2">
        <f t="shared" si="19"/>
        <v>0</v>
      </c>
      <c r="CU56" s="2">
        <f t="shared" si="19"/>
        <v>0</v>
      </c>
      <c r="CV56" s="2">
        <f t="shared" si="19"/>
        <v>0</v>
      </c>
      <c r="CW56" s="2">
        <f t="shared" si="19"/>
        <v>0</v>
      </c>
      <c r="CX56" s="2">
        <f t="shared" si="19"/>
        <v>0</v>
      </c>
      <c r="CY56" s="2">
        <f t="shared" si="19"/>
        <v>0</v>
      </c>
      <c r="CZ56" s="2">
        <f t="shared" si="19"/>
        <v>0</v>
      </c>
      <c r="DA56" s="2">
        <f t="shared" si="19"/>
        <v>0</v>
      </c>
      <c r="DB56" s="2">
        <f t="shared" si="19"/>
        <v>0</v>
      </c>
      <c r="DC56" s="2">
        <f t="shared" si="19"/>
        <v>0</v>
      </c>
      <c r="DD56" s="2">
        <f t="shared" si="19"/>
        <v>0</v>
      </c>
      <c r="DE56" s="2">
        <f t="shared" si="19"/>
        <v>0</v>
      </c>
      <c r="DF56" s="2">
        <f t="shared" si="19"/>
        <v>0</v>
      </c>
      <c r="DG56" s="3">
        <f t="shared" ref="DG56:EL56" si="20">DG338</f>
        <v>0</v>
      </c>
      <c r="DH56" s="3">
        <f t="shared" si="20"/>
        <v>0</v>
      </c>
      <c r="DI56" s="3">
        <f t="shared" si="20"/>
        <v>0</v>
      </c>
      <c r="DJ56" s="3">
        <f t="shared" si="20"/>
        <v>0</v>
      </c>
      <c r="DK56" s="3">
        <f t="shared" si="20"/>
        <v>0</v>
      </c>
      <c r="DL56" s="3">
        <f t="shared" si="20"/>
        <v>0</v>
      </c>
      <c r="DM56" s="3">
        <f t="shared" si="20"/>
        <v>0</v>
      </c>
      <c r="DN56" s="3">
        <f t="shared" si="20"/>
        <v>0</v>
      </c>
      <c r="DO56" s="3">
        <f t="shared" si="20"/>
        <v>0</v>
      </c>
      <c r="DP56" s="3">
        <f t="shared" si="20"/>
        <v>0</v>
      </c>
      <c r="DQ56" s="3">
        <f t="shared" si="20"/>
        <v>0</v>
      </c>
      <c r="DR56" s="3">
        <f t="shared" si="20"/>
        <v>0</v>
      </c>
      <c r="DS56" s="3">
        <f t="shared" si="20"/>
        <v>0</v>
      </c>
      <c r="DT56" s="3">
        <f t="shared" si="20"/>
        <v>0</v>
      </c>
      <c r="DU56" s="3">
        <f t="shared" si="20"/>
        <v>0</v>
      </c>
      <c r="DV56" s="3">
        <f t="shared" si="20"/>
        <v>0</v>
      </c>
      <c r="DW56" s="3">
        <f t="shared" si="20"/>
        <v>0</v>
      </c>
      <c r="DX56" s="3">
        <f t="shared" si="20"/>
        <v>0</v>
      </c>
      <c r="DY56" s="3">
        <f t="shared" si="20"/>
        <v>0</v>
      </c>
      <c r="DZ56" s="3">
        <f t="shared" si="20"/>
        <v>0</v>
      </c>
      <c r="EA56" s="3">
        <f t="shared" si="20"/>
        <v>0</v>
      </c>
      <c r="EB56" s="3">
        <f t="shared" si="20"/>
        <v>0</v>
      </c>
      <c r="EC56" s="3">
        <f t="shared" si="20"/>
        <v>0</v>
      </c>
      <c r="ED56" s="3">
        <f t="shared" si="20"/>
        <v>0</v>
      </c>
      <c r="EE56" s="3">
        <f t="shared" si="20"/>
        <v>0</v>
      </c>
      <c r="EF56" s="3">
        <f t="shared" si="20"/>
        <v>0</v>
      </c>
      <c r="EG56" s="3">
        <f t="shared" si="20"/>
        <v>0</v>
      </c>
      <c r="EH56" s="3">
        <f t="shared" si="20"/>
        <v>0</v>
      </c>
      <c r="EI56" s="3">
        <f t="shared" si="20"/>
        <v>0</v>
      </c>
      <c r="EJ56" s="3">
        <f t="shared" si="20"/>
        <v>0</v>
      </c>
      <c r="EK56" s="3">
        <f t="shared" si="20"/>
        <v>0</v>
      </c>
      <c r="EL56" s="3">
        <f t="shared" si="20"/>
        <v>0</v>
      </c>
      <c r="EM56" s="3">
        <f t="shared" ref="EM56:FR56" si="21">EM338</f>
        <v>0</v>
      </c>
      <c r="EN56" s="3">
        <f t="shared" si="21"/>
        <v>0</v>
      </c>
      <c r="EO56" s="3">
        <f t="shared" si="21"/>
        <v>0</v>
      </c>
      <c r="EP56" s="3">
        <f t="shared" si="21"/>
        <v>0</v>
      </c>
      <c r="EQ56" s="3">
        <f t="shared" si="21"/>
        <v>0</v>
      </c>
      <c r="ER56" s="3">
        <f t="shared" si="21"/>
        <v>0</v>
      </c>
      <c r="ES56" s="3">
        <f t="shared" si="21"/>
        <v>0</v>
      </c>
      <c r="ET56" s="3">
        <f t="shared" si="21"/>
        <v>0</v>
      </c>
      <c r="EU56" s="3">
        <f t="shared" si="21"/>
        <v>0</v>
      </c>
      <c r="EV56" s="3">
        <f t="shared" si="21"/>
        <v>0</v>
      </c>
      <c r="EW56" s="3">
        <f t="shared" si="21"/>
        <v>0</v>
      </c>
      <c r="EX56" s="3">
        <f t="shared" si="21"/>
        <v>0</v>
      </c>
      <c r="EY56" s="3">
        <f t="shared" si="21"/>
        <v>0</v>
      </c>
      <c r="EZ56" s="3">
        <f t="shared" si="21"/>
        <v>0</v>
      </c>
      <c r="FA56" s="3">
        <f t="shared" si="21"/>
        <v>0</v>
      </c>
      <c r="FB56" s="3">
        <f t="shared" si="21"/>
        <v>0</v>
      </c>
      <c r="FC56" s="3">
        <f t="shared" si="21"/>
        <v>0</v>
      </c>
      <c r="FD56" s="3">
        <f t="shared" si="21"/>
        <v>0</v>
      </c>
      <c r="FE56" s="3">
        <f t="shared" si="21"/>
        <v>0</v>
      </c>
      <c r="FF56" s="3">
        <f t="shared" si="21"/>
        <v>0</v>
      </c>
      <c r="FG56" s="3">
        <f t="shared" si="21"/>
        <v>0</v>
      </c>
      <c r="FH56" s="3">
        <f t="shared" si="21"/>
        <v>0</v>
      </c>
      <c r="FI56" s="3">
        <f t="shared" si="21"/>
        <v>0</v>
      </c>
      <c r="FJ56" s="3">
        <f t="shared" si="21"/>
        <v>0</v>
      </c>
      <c r="FK56" s="3">
        <f t="shared" si="21"/>
        <v>0</v>
      </c>
      <c r="FL56" s="3">
        <f t="shared" si="21"/>
        <v>0</v>
      </c>
      <c r="FM56" s="3">
        <f t="shared" si="21"/>
        <v>0</v>
      </c>
      <c r="FN56" s="3">
        <f t="shared" si="21"/>
        <v>0</v>
      </c>
      <c r="FO56" s="3">
        <f t="shared" si="21"/>
        <v>0</v>
      </c>
      <c r="FP56" s="3">
        <f t="shared" si="21"/>
        <v>0</v>
      </c>
      <c r="FQ56" s="3">
        <f t="shared" si="21"/>
        <v>0</v>
      </c>
      <c r="FR56" s="3">
        <f t="shared" si="21"/>
        <v>0</v>
      </c>
      <c r="FS56" s="3">
        <f t="shared" ref="FS56:GX56" si="22">FS338</f>
        <v>0</v>
      </c>
      <c r="FT56" s="3">
        <f t="shared" si="22"/>
        <v>0</v>
      </c>
      <c r="FU56" s="3">
        <f t="shared" si="22"/>
        <v>0</v>
      </c>
      <c r="FV56" s="3">
        <f t="shared" si="22"/>
        <v>0</v>
      </c>
      <c r="FW56" s="3">
        <f t="shared" si="22"/>
        <v>0</v>
      </c>
      <c r="FX56" s="3">
        <f t="shared" si="22"/>
        <v>0</v>
      </c>
      <c r="FY56" s="3">
        <f t="shared" si="22"/>
        <v>0</v>
      </c>
      <c r="FZ56" s="3">
        <f t="shared" si="22"/>
        <v>0</v>
      </c>
      <c r="GA56" s="3">
        <f t="shared" si="22"/>
        <v>0</v>
      </c>
      <c r="GB56" s="3">
        <f t="shared" si="22"/>
        <v>0</v>
      </c>
      <c r="GC56" s="3">
        <f t="shared" si="22"/>
        <v>0</v>
      </c>
      <c r="GD56" s="3">
        <f t="shared" si="22"/>
        <v>0</v>
      </c>
      <c r="GE56" s="3">
        <f t="shared" si="22"/>
        <v>0</v>
      </c>
      <c r="GF56" s="3">
        <f t="shared" si="22"/>
        <v>0</v>
      </c>
      <c r="GG56" s="3">
        <f t="shared" si="22"/>
        <v>0</v>
      </c>
      <c r="GH56" s="3">
        <f t="shared" si="22"/>
        <v>0</v>
      </c>
      <c r="GI56" s="3">
        <f t="shared" si="22"/>
        <v>0</v>
      </c>
      <c r="GJ56" s="3">
        <f t="shared" si="22"/>
        <v>0</v>
      </c>
      <c r="GK56" s="3">
        <f t="shared" si="22"/>
        <v>0</v>
      </c>
      <c r="GL56" s="3">
        <f t="shared" si="22"/>
        <v>0</v>
      </c>
      <c r="GM56" s="3">
        <f t="shared" si="22"/>
        <v>0</v>
      </c>
      <c r="GN56" s="3">
        <f t="shared" si="22"/>
        <v>0</v>
      </c>
      <c r="GO56" s="3">
        <f t="shared" si="22"/>
        <v>0</v>
      </c>
      <c r="GP56" s="3">
        <f t="shared" si="22"/>
        <v>0</v>
      </c>
      <c r="GQ56" s="3">
        <f t="shared" si="22"/>
        <v>0</v>
      </c>
      <c r="GR56" s="3">
        <f t="shared" si="22"/>
        <v>0</v>
      </c>
      <c r="GS56" s="3">
        <f t="shared" si="22"/>
        <v>0</v>
      </c>
      <c r="GT56" s="3">
        <f t="shared" si="22"/>
        <v>0</v>
      </c>
      <c r="GU56" s="3">
        <f t="shared" si="22"/>
        <v>0</v>
      </c>
      <c r="GV56" s="3">
        <f t="shared" si="22"/>
        <v>0</v>
      </c>
      <c r="GW56" s="3">
        <f t="shared" si="22"/>
        <v>0</v>
      </c>
      <c r="GX56" s="3">
        <f t="shared" si="22"/>
        <v>0</v>
      </c>
    </row>
    <row r="58" spans="1:245" x14ac:dyDescent="0.2">
      <c r="A58" s="1">
        <v>4</v>
      </c>
      <c r="B58" s="1">
        <v>1</v>
      </c>
      <c r="C58" s="1"/>
      <c r="D58" s="1">
        <f>ROW(A87)</f>
        <v>87</v>
      </c>
      <c r="E58" s="1"/>
      <c r="F58" s="1" t="s">
        <v>71</v>
      </c>
      <c r="G58" s="1" t="s">
        <v>72</v>
      </c>
      <c r="H58" s="1" t="s">
        <v>3</v>
      </c>
      <c r="I58" s="1">
        <v>0</v>
      </c>
      <c r="J58" s="1"/>
      <c r="K58" s="1">
        <v>0</v>
      </c>
      <c r="L58" s="1"/>
      <c r="M58" s="1" t="s">
        <v>3</v>
      </c>
      <c r="N58" s="1"/>
      <c r="O58" s="1"/>
      <c r="P58" s="1"/>
      <c r="Q58" s="1"/>
      <c r="R58" s="1"/>
      <c r="S58" s="1">
        <v>0</v>
      </c>
      <c r="T58" s="1"/>
      <c r="U58" s="1" t="s">
        <v>3</v>
      </c>
      <c r="V58" s="1">
        <v>0</v>
      </c>
      <c r="W58" s="1"/>
      <c r="X58" s="1"/>
      <c r="Y58" s="1"/>
      <c r="Z58" s="1"/>
      <c r="AA58" s="1"/>
      <c r="AB58" s="1" t="s">
        <v>3</v>
      </c>
      <c r="AC58" s="1" t="s">
        <v>3</v>
      </c>
      <c r="AD58" s="1" t="s">
        <v>3</v>
      </c>
      <c r="AE58" s="1" t="s">
        <v>3</v>
      </c>
      <c r="AF58" s="1" t="s">
        <v>3</v>
      </c>
      <c r="AG58" s="1" t="s">
        <v>3</v>
      </c>
      <c r="AH58" s="1"/>
      <c r="AI58" s="1"/>
      <c r="AJ58" s="1"/>
      <c r="AK58" s="1"/>
      <c r="AL58" s="1"/>
      <c r="AM58" s="1"/>
      <c r="AN58" s="1"/>
      <c r="AO58" s="1"/>
      <c r="AP58" s="1" t="s">
        <v>3</v>
      </c>
      <c r="AQ58" s="1" t="s">
        <v>3</v>
      </c>
      <c r="AR58" s="1" t="s">
        <v>3</v>
      </c>
      <c r="AS58" s="1"/>
      <c r="AT58" s="1"/>
      <c r="AU58" s="1"/>
      <c r="AV58" s="1"/>
      <c r="AW58" s="1"/>
      <c r="AX58" s="1"/>
      <c r="AY58" s="1"/>
      <c r="AZ58" s="1" t="s">
        <v>3</v>
      </c>
      <c r="BA58" s="1"/>
      <c r="BB58" s="1" t="s">
        <v>3</v>
      </c>
      <c r="BC58" s="1" t="s">
        <v>3</v>
      </c>
      <c r="BD58" s="1" t="s">
        <v>3</v>
      </c>
      <c r="BE58" s="1" t="s">
        <v>3</v>
      </c>
      <c r="BF58" s="1" t="s">
        <v>3</v>
      </c>
      <c r="BG58" s="1" t="s">
        <v>3</v>
      </c>
      <c r="BH58" s="1" t="s">
        <v>3</v>
      </c>
      <c r="BI58" s="1" t="s">
        <v>3</v>
      </c>
      <c r="BJ58" s="1" t="s">
        <v>3</v>
      </c>
      <c r="BK58" s="1" t="s">
        <v>3</v>
      </c>
      <c r="BL58" s="1" t="s">
        <v>3</v>
      </c>
      <c r="BM58" s="1" t="s">
        <v>3</v>
      </c>
      <c r="BN58" s="1" t="s">
        <v>3</v>
      </c>
      <c r="BO58" s="1" t="s">
        <v>3</v>
      </c>
      <c r="BP58" s="1" t="s">
        <v>3</v>
      </c>
      <c r="BQ58" s="1"/>
      <c r="BR58" s="1"/>
      <c r="BS58" s="1"/>
      <c r="BT58" s="1"/>
      <c r="BU58" s="1"/>
      <c r="BV58" s="1"/>
      <c r="BW58" s="1"/>
      <c r="BX58" s="1">
        <v>0</v>
      </c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>
        <v>0</v>
      </c>
    </row>
    <row r="60" spans="1:245" x14ac:dyDescent="0.2">
      <c r="A60" s="2">
        <v>52</v>
      </c>
      <c r="B60" s="2">
        <f t="shared" ref="B60:G60" si="23">B87</f>
        <v>1</v>
      </c>
      <c r="C60" s="2">
        <f t="shared" si="23"/>
        <v>4</v>
      </c>
      <c r="D60" s="2">
        <f t="shared" si="23"/>
        <v>58</v>
      </c>
      <c r="E60" s="2">
        <f t="shared" si="23"/>
        <v>0</v>
      </c>
      <c r="F60" s="2" t="str">
        <f t="shared" si="23"/>
        <v>Новый раздел</v>
      </c>
      <c r="G60" s="2" t="str">
        <f t="shared" si="23"/>
        <v>Строительная работы</v>
      </c>
      <c r="H60" s="2"/>
      <c r="I60" s="2"/>
      <c r="J60" s="2"/>
      <c r="K60" s="2"/>
      <c r="L60" s="2"/>
      <c r="M60" s="2"/>
      <c r="N60" s="2"/>
      <c r="O60" s="2">
        <f t="shared" ref="O60:AT60" si="24">O87</f>
        <v>111926.38</v>
      </c>
      <c r="P60" s="2">
        <f t="shared" si="24"/>
        <v>59956.32</v>
      </c>
      <c r="Q60" s="2">
        <f t="shared" si="24"/>
        <v>10085.27</v>
      </c>
      <c r="R60" s="2">
        <f t="shared" si="24"/>
        <v>4219.57</v>
      </c>
      <c r="S60" s="2">
        <f t="shared" si="24"/>
        <v>37665.22</v>
      </c>
      <c r="T60" s="2">
        <f t="shared" si="24"/>
        <v>0</v>
      </c>
      <c r="U60" s="2">
        <f t="shared" si="24"/>
        <v>83.95923839999999</v>
      </c>
      <c r="V60" s="2">
        <f t="shared" si="24"/>
        <v>7.5584420000000003</v>
      </c>
      <c r="W60" s="2">
        <f t="shared" si="24"/>
        <v>0</v>
      </c>
      <c r="X60" s="2">
        <f t="shared" si="24"/>
        <v>43200.29</v>
      </c>
      <c r="Y60" s="2">
        <f t="shared" si="24"/>
        <v>26120.5</v>
      </c>
      <c r="Z60" s="2">
        <f t="shared" si="24"/>
        <v>0</v>
      </c>
      <c r="AA60" s="2">
        <f t="shared" si="24"/>
        <v>0</v>
      </c>
      <c r="AB60" s="2">
        <f t="shared" si="24"/>
        <v>111926.38</v>
      </c>
      <c r="AC60" s="2">
        <f t="shared" si="24"/>
        <v>59956.32</v>
      </c>
      <c r="AD60" s="2">
        <f t="shared" si="24"/>
        <v>10085.27</v>
      </c>
      <c r="AE60" s="2">
        <f t="shared" si="24"/>
        <v>4219.57</v>
      </c>
      <c r="AF60" s="2">
        <f t="shared" si="24"/>
        <v>37665.22</v>
      </c>
      <c r="AG60" s="2">
        <f t="shared" si="24"/>
        <v>0</v>
      </c>
      <c r="AH60" s="2">
        <f t="shared" si="24"/>
        <v>83.95923839999999</v>
      </c>
      <c r="AI60" s="2">
        <f t="shared" si="24"/>
        <v>7.5584420000000003</v>
      </c>
      <c r="AJ60" s="2">
        <f t="shared" si="24"/>
        <v>0</v>
      </c>
      <c r="AK60" s="2">
        <f t="shared" si="24"/>
        <v>43200.29</v>
      </c>
      <c r="AL60" s="2">
        <f t="shared" si="24"/>
        <v>26120.5</v>
      </c>
      <c r="AM60" s="2">
        <f t="shared" si="24"/>
        <v>0</v>
      </c>
      <c r="AN60" s="2">
        <f t="shared" si="24"/>
        <v>0</v>
      </c>
      <c r="AO60" s="2">
        <f t="shared" si="24"/>
        <v>0</v>
      </c>
      <c r="AP60" s="2">
        <f t="shared" si="24"/>
        <v>0</v>
      </c>
      <c r="AQ60" s="2">
        <f t="shared" si="24"/>
        <v>0</v>
      </c>
      <c r="AR60" s="2">
        <f t="shared" si="24"/>
        <v>181247.17</v>
      </c>
      <c r="AS60" s="2">
        <f t="shared" si="24"/>
        <v>181247.17</v>
      </c>
      <c r="AT60" s="2">
        <f t="shared" si="24"/>
        <v>0</v>
      </c>
      <c r="AU60" s="2">
        <f t="shared" ref="AU60:BZ60" si="25">AU87</f>
        <v>0</v>
      </c>
      <c r="AV60" s="2">
        <f t="shared" si="25"/>
        <v>59956.32</v>
      </c>
      <c r="AW60" s="2">
        <f t="shared" si="25"/>
        <v>59956.32</v>
      </c>
      <c r="AX60" s="2">
        <f t="shared" si="25"/>
        <v>0</v>
      </c>
      <c r="AY60" s="2">
        <f t="shared" si="25"/>
        <v>59956.32</v>
      </c>
      <c r="AZ60" s="2">
        <f t="shared" si="25"/>
        <v>0</v>
      </c>
      <c r="BA60" s="2">
        <f t="shared" si="25"/>
        <v>0</v>
      </c>
      <c r="BB60" s="2">
        <f t="shared" si="25"/>
        <v>0</v>
      </c>
      <c r="BC60" s="2">
        <f t="shared" si="25"/>
        <v>0</v>
      </c>
      <c r="BD60" s="2">
        <f t="shared" si="25"/>
        <v>0</v>
      </c>
      <c r="BE60" s="2">
        <f t="shared" si="25"/>
        <v>0</v>
      </c>
      <c r="BF60" s="2">
        <f t="shared" si="25"/>
        <v>0</v>
      </c>
      <c r="BG60" s="2">
        <f t="shared" si="25"/>
        <v>0</v>
      </c>
      <c r="BH60" s="2">
        <f t="shared" si="25"/>
        <v>0</v>
      </c>
      <c r="BI60" s="2">
        <f t="shared" si="25"/>
        <v>0</v>
      </c>
      <c r="BJ60" s="2">
        <f t="shared" si="25"/>
        <v>0</v>
      </c>
      <c r="BK60" s="2">
        <f t="shared" si="25"/>
        <v>0</v>
      </c>
      <c r="BL60" s="2">
        <f t="shared" si="25"/>
        <v>0</v>
      </c>
      <c r="BM60" s="2">
        <f t="shared" si="25"/>
        <v>0</v>
      </c>
      <c r="BN60" s="2">
        <f t="shared" si="25"/>
        <v>0</v>
      </c>
      <c r="BO60" s="2">
        <f t="shared" si="25"/>
        <v>0</v>
      </c>
      <c r="BP60" s="2">
        <f t="shared" si="25"/>
        <v>0</v>
      </c>
      <c r="BQ60" s="2">
        <f t="shared" si="25"/>
        <v>0</v>
      </c>
      <c r="BR60" s="2">
        <f t="shared" si="25"/>
        <v>0</v>
      </c>
      <c r="BS60" s="2">
        <f t="shared" si="25"/>
        <v>0</v>
      </c>
      <c r="BT60" s="2">
        <f t="shared" si="25"/>
        <v>0</v>
      </c>
      <c r="BU60" s="2">
        <f t="shared" si="25"/>
        <v>0</v>
      </c>
      <c r="BV60" s="2">
        <f t="shared" si="25"/>
        <v>0</v>
      </c>
      <c r="BW60" s="2">
        <f t="shared" si="25"/>
        <v>0</v>
      </c>
      <c r="BX60" s="2">
        <f t="shared" si="25"/>
        <v>0</v>
      </c>
      <c r="BY60" s="2">
        <f t="shared" si="25"/>
        <v>0</v>
      </c>
      <c r="BZ60" s="2">
        <f t="shared" si="25"/>
        <v>0</v>
      </c>
      <c r="CA60" s="2">
        <f t="shared" ref="CA60:DF60" si="26">CA87</f>
        <v>181247.17</v>
      </c>
      <c r="CB60" s="2">
        <f t="shared" si="26"/>
        <v>181247.17</v>
      </c>
      <c r="CC60" s="2">
        <f t="shared" si="26"/>
        <v>0</v>
      </c>
      <c r="CD60" s="2">
        <f t="shared" si="26"/>
        <v>0</v>
      </c>
      <c r="CE60" s="2">
        <f t="shared" si="26"/>
        <v>59956.32</v>
      </c>
      <c r="CF60" s="2">
        <f t="shared" si="26"/>
        <v>59956.32</v>
      </c>
      <c r="CG60" s="2">
        <f t="shared" si="26"/>
        <v>0</v>
      </c>
      <c r="CH60" s="2">
        <f t="shared" si="26"/>
        <v>59956.32</v>
      </c>
      <c r="CI60" s="2">
        <f t="shared" si="26"/>
        <v>0</v>
      </c>
      <c r="CJ60" s="2">
        <f t="shared" si="26"/>
        <v>0</v>
      </c>
      <c r="CK60" s="2">
        <f t="shared" si="26"/>
        <v>0</v>
      </c>
      <c r="CL60" s="2">
        <f t="shared" si="26"/>
        <v>0</v>
      </c>
      <c r="CM60" s="2">
        <f t="shared" si="26"/>
        <v>0</v>
      </c>
      <c r="CN60" s="2">
        <f t="shared" si="26"/>
        <v>0</v>
      </c>
      <c r="CO60" s="2">
        <f t="shared" si="26"/>
        <v>0</v>
      </c>
      <c r="CP60" s="2">
        <f t="shared" si="26"/>
        <v>0</v>
      </c>
      <c r="CQ60" s="2">
        <f t="shared" si="26"/>
        <v>0</v>
      </c>
      <c r="CR60" s="2">
        <f t="shared" si="26"/>
        <v>0</v>
      </c>
      <c r="CS60" s="2">
        <f t="shared" si="26"/>
        <v>0</v>
      </c>
      <c r="CT60" s="2">
        <f t="shared" si="26"/>
        <v>0</v>
      </c>
      <c r="CU60" s="2">
        <f t="shared" si="26"/>
        <v>0</v>
      </c>
      <c r="CV60" s="2">
        <f t="shared" si="26"/>
        <v>0</v>
      </c>
      <c r="CW60" s="2">
        <f t="shared" si="26"/>
        <v>0</v>
      </c>
      <c r="CX60" s="2">
        <f t="shared" si="26"/>
        <v>0</v>
      </c>
      <c r="CY60" s="2">
        <f t="shared" si="26"/>
        <v>0</v>
      </c>
      <c r="CZ60" s="2">
        <f t="shared" si="26"/>
        <v>0</v>
      </c>
      <c r="DA60" s="2">
        <f t="shared" si="26"/>
        <v>0</v>
      </c>
      <c r="DB60" s="2">
        <f t="shared" si="26"/>
        <v>0</v>
      </c>
      <c r="DC60" s="2">
        <f t="shared" si="26"/>
        <v>0</v>
      </c>
      <c r="DD60" s="2">
        <f t="shared" si="26"/>
        <v>0</v>
      </c>
      <c r="DE60" s="2">
        <f t="shared" si="26"/>
        <v>0</v>
      </c>
      <c r="DF60" s="2">
        <f t="shared" si="26"/>
        <v>0</v>
      </c>
      <c r="DG60" s="3">
        <f t="shared" ref="DG60:EL60" si="27">DG87</f>
        <v>0</v>
      </c>
      <c r="DH60" s="3">
        <f t="shared" si="27"/>
        <v>0</v>
      </c>
      <c r="DI60" s="3">
        <f t="shared" si="27"/>
        <v>0</v>
      </c>
      <c r="DJ60" s="3">
        <f t="shared" si="27"/>
        <v>0</v>
      </c>
      <c r="DK60" s="3">
        <f t="shared" si="27"/>
        <v>0</v>
      </c>
      <c r="DL60" s="3">
        <f t="shared" si="27"/>
        <v>0</v>
      </c>
      <c r="DM60" s="3">
        <f t="shared" si="27"/>
        <v>0</v>
      </c>
      <c r="DN60" s="3">
        <f t="shared" si="27"/>
        <v>0</v>
      </c>
      <c r="DO60" s="3">
        <f t="shared" si="27"/>
        <v>0</v>
      </c>
      <c r="DP60" s="3">
        <f t="shared" si="27"/>
        <v>0</v>
      </c>
      <c r="DQ60" s="3">
        <f t="shared" si="27"/>
        <v>0</v>
      </c>
      <c r="DR60" s="3">
        <f t="shared" si="27"/>
        <v>0</v>
      </c>
      <c r="DS60" s="3">
        <f t="shared" si="27"/>
        <v>0</v>
      </c>
      <c r="DT60" s="3">
        <f t="shared" si="27"/>
        <v>0</v>
      </c>
      <c r="DU60" s="3">
        <f t="shared" si="27"/>
        <v>0</v>
      </c>
      <c r="DV60" s="3">
        <f t="shared" si="27"/>
        <v>0</v>
      </c>
      <c r="DW60" s="3">
        <f t="shared" si="27"/>
        <v>0</v>
      </c>
      <c r="DX60" s="3">
        <f t="shared" si="27"/>
        <v>0</v>
      </c>
      <c r="DY60" s="3">
        <f t="shared" si="27"/>
        <v>0</v>
      </c>
      <c r="DZ60" s="3">
        <f t="shared" si="27"/>
        <v>0</v>
      </c>
      <c r="EA60" s="3">
        <f t="shared" si="27"/>
        <v>0</v>
      </c>
      <c r="EB60" s="3">
        <f t="shared" si="27"/>
        <v>0</v>
      </c>
      <c r="EC60" s="3">
        <f t="shared" si="27"/>
        <v>0</v>
      </c>
      <c r="ED60" s="3">
        <f t="shared" si="27"/>
        <v>0</v>
      </c>
      <c r="EE60" s="3">
        <f t="shared" si="27"/>
        <v>0</v>
      </c>
      <c r="EF60" s="3">
        <f t="shared" si="27"/>
        <v>0</v>
      </c>
      <c r="EG60" s="3">
        <f t="shared" si="27"/>
        <v>0</v>
      </c>
      <c r="EH60" s="3">
        <f t="shared" si="27"/>
        <v>0</v>
      </c>
      <c r="EI60" s="3">
        <f t="shared" si="27"/>
        <v>0</v>
      </c>
      <c r="EJ60" s="3">
        <f t="shared" si="27"/>
        <v>0</v>
      </c>
      <c r="EK60" s="3">
        <f t="shared" si="27"/>
        <v>0</v>
      </c>
      <c r="EL60" s="3">
        <f t="shared" si="27"/>
        <v>0</v>
      </c>
      <c r="EM60" s="3">
        <f t="shared" ref="EM60:FR60" si="28">EM87</f>
        <v>0</v>
      </c>
      <c r="EN60" s="3">
        <f t="shared" si="28"/>
        <v>0</v>
      </c>
      <c r="EO60" s="3">
        <f t="shared" si="28"/>
        <v>0</v>
      </c>
      <c r="EP60" s="3">
        <f t="shared" si="28"/>
        <v>0</v>
      </c>
      <c r="EQ60" s="3">
        <f t="shared" si="28"/>
        <v>0</v>
      </c>
      <c r="ER60" s="3">
        <f t="shared" si="28"/>
        <v>0</v>
      </c>
      <c r="ES60" s="3">
        <f t="shared" si="28"/>
        <v>0</v>
      </c>
      <c r="ET60" s="3">
        <f t="shared" si="28"/>
        <v>0</v>
      </c>
      <c r="EU60" s="3">
        <f t="shared" si="28"/>
        <v>0</v>
      </c>
      <c r="EV60" s="3">
        <f t="shared" si="28"/>
        <v>0</v>
      </c>
      <c r="EW60" s="3">
        <f t="shared" si="28"/>
        <v>0</v>
      </c>
      <c r="EX60" s="3">
        <f t="shared" si="28"/>
        <v>0</v>
      </c>
      <c r="EY60" s="3">
        <f t="shared" si="28"/>
        <v>0</v>
      </c>
      <c r="EZ60" s="3">
        <f t="shared" si="28"/>
        <v>0</v>
      </c>
      <c r="FA60" s="3">
        <f t="shared" si="28"/>
        <v>0</v>
      </c>
      <c r="FB60" s="3">
        <f t="shared" si="28"/>
        <v>0</v>
      </c>
      <c r="FC60" s="3">
        <f t="shared" si="28"/>
        <v>0</v>
      </c>
      <c r="FD60" s="3">
        <f t="shared" si="28"/>
        <v>0</v>
      </c>
      <c r="FE60" s="3">
        <f t="shared" si="28"/>
        <v>0</v>
      </c>
      <c r="FF60" s="3">
        <f t="shared" si="28"/>
        <v>0</v>
      </c>
      <c r="FG60" s="3">
        <f t="shared" si="28"/>
        <v>0</v>
      </c>
      <c r="FH60" s="3">
        <f t="shared" si="28"/>
        <v>0</v>
      </c>
      <c r="FI60" s="3">
        <f t="shared" si="28"/>
        <v>0</v>
      </c>
      <c r="FJ60" s="3">
        <f t="shared" si="28"/>
        <v>0</v>
      </c>
      <c r="FK60" s="3">
        <f t="shared" si="28"/>
        <v>0</v>
      </c>
      <c r="FL60" s="3">
        <f t="shared" si="28"/>
        <v>0</v>
      </c>
      <c r="FM60" s="3">
        <f t="shared" si="28"/>
        <v>0</v>
      </c>
      <c r="FN60" s="3">
        <f t="shared" si="28"/>
        <v>0</v>
      </c>
      <c r="FO60" s="3">
        <f t="shared" si="28"/>
        <v>0</v>
      </c>
      <c r="FP60" s="3">
        <f t="shared" si="28"/>
        <v>0</v>
      </c>
      <c r="FQ60" s="3">
        <f t="shared" si="28"/>
        <v>0</v>
      </c>
      <c r="FR60" s="3">
        <f t="shared" si="28"/>
        <v>0</v>
      </c>
      <c r="FS60" s="3">
        <f t="shared" ref="FS60:GX60" si="29">FS87</f>
        <v>0</v>
      </c>
      <c r="FT60" s="3">
        <f t="shared" si="29"/>
        <v>0</v>
      </c>
      <c r="FU60" s="3">
        <f t="shared" si="29"/>
        <v>0</v>
      </c>
      <c r="FV60" s="3">
        <f t="shared" si="29"/>
        <v>0</v>
      </c>
      <c r="FW60" s="3">
        <f t="shared" si="29"/>
        <v>0</v>
      </c>
      <c r="FX60" s="3">
        <f t="shared" si="29"/>
        <v>0</v>
      </c>
      <c r="FY60" s="3">
        <f t="shared" si="29"/>
        <v>0</v>
      </c>
      <c r="FZ60" s="3">
        <f t="shared" si="29"/>
        <v>0</v>
      </c>
      <c r="GA60" s="3">
        <f t="shared" si="29"/>
        <v>0</v>
      </c>
      <c r="GB60" s="3">
        <f t="shared" si="29"/>
        <v>0</v>
      </c>
      <c r="GC60" s="3">
        <f t="shared" si="29"/>
        <v>0</v>
      </c>
      <c r="GD60" s="3">
        <f t="shared" si="29"/>
        <v>0</v>
      </c>
      <c r="GE60" s="3">
        <f t="shared" si="29"/>
        <v>0</v>
      </c>
      <c r="GF60" s="3">
        <f t="shared" si="29"/>
        <v>0</v>
      </c>
      <c r="GG60" s="3">
        <f t="shared" si="29"/>
        <v>0</v>
      </c>
      <c r="GH60" s="3">
        <f t="shared" si="29"/>
        <v>0</v>
      </c>
      <c r="GI60" s="3">
        <f t="shared" si="29"/>
        <v>0</v>
      </c>
      <c r="GJ60" s="3">
        <f t="shared" si="29"/>
        <v>0</v>
      </c>
      <c r="GK60" s="3">
        <f t="shared" si="29"/>
        <v>0</v>
      </c>
      <c r="GL60" s="3">
        <f t="shared" si="29"/>
        <v>0</v>
      </c>
      <c r="GM60" s="3">
        <f t="shared" si="29"/>
        <v>0</v>
      </c>
      <c r="GN60" s="3">
        <f t="shared" si="29"/>
        <v>0</v>
      </c>
      <c r="GO60" s="3">
        <f t="shared" si="29"/>
        <v>0</v>
      </c>
      <c r="GP60" s="3">
        <f t="shared" si="29"/>
        <v>0</v>
      </c>
      <c r="GQ60" s="3">
        <f t="shared" si="29"/>
        <v>0</v>
      </c>
      <c r="GR60" s="3">
        <f t="shared" si="29"/>
        <v>0</v>
      </c>
      <c r="GS60" s="3">
        <f t="shared" si="29"/>
        <v>0</v>
      </c>
      <c r="GT60" s="3">
        <f t="shared" si="29"/>
        <v>0</v>
      </c>
      <c r="GU60" s="3">
        <f t="shared" si="29"/>
        <v>0</v>
      </c>
      <c r="GV60" s="3">
        <f t="shared" si="29"/>
        <v>0</v>
      </c>
      <c r="GW60" s="3">
        <f t="shared" si="29"/>
        <v>0</v>
      </c>
      <c r="GX60" s="3">
        <f t="shared" si="29"/>
        <v>0</v>
      </c>
    </row>
    <row r="62" spans="1:245" x14ac:dyDescent="0.2">
      <c r="A62">
        <v>17</v>
      </c>
      <c r="B62">
        <v>1</v>
      </c>
      <c r="C62">
        <f>ROW(SmtRes!A8)</f>
        <v>8</v>
      </c>
      <c r="D62">
        <f>ROW(EtalonRes!A8)</f>
        <v>8</v>
      </c>
      <c r="E62" t="s">
        <v>73</v>
      </c>
      <c r="F62" t="s">
        <v>74</v>
      </c>
      <c r="G62" t="s">
        <v>75</v>
      </c>
      <c r="H62" t="s">
        <v>76</v>
      </c>
      <c r="I62">
        <f>ROUND(1/100,7)</f>
        <v>0.01</v>
      </c>
      <c r="J62">
        <v>0</v>
      </c>
      <c r="K62">
        <f>ROUND(1/100,7)</f>
        <v>0.01</v>
      </c>
      <c r="O62">
        <f t="shared" ref="O62:O85" si="30">ROUND(CP62,2)</f>
        <v>760.67</v>
      </c>
      <c r="P62">
        <f>SUMIF(SmtRes!AQ1:'SmtRes'!AQ8,"=1",SmtRes!DF1:'SmtRes'!DF8)</f>
        <v>0</v>
      </c>
      <c r="Q62">
        <f>SUMIF(SmtRes!AQ1:'SmtRes'!AQ8,"=1",SmtRes!DG1:'SmtRes'!DG8)</f>
        <v>386.44</v>
      </c>
      <c r="R62">
        <f>SUMIF(SmtRes!AQ1:'SmtRes'!AQ8,"=1",SmtRes!DH1:'SmtRes'!DH8)</f>
        <v>135.56</v>
      </c>
      <c r="S62">
        <f>SUMIF(SmtRes!AQ1:'SmtRes'!AQ8,"=1",SmtRes!DI1:'SmtRes'!DI8)</f>
        <v>238.67</v>
      </c>
      <c r="T62">
        <f t="shared" ref="T62:T85" si="31">ROUND(CU62*I62,2)</f>
        <v>0</v>
      </c>
      <c r="U62">
        <f>SUMIF(SmtRes!AQ1:'SmtRes'!AQ8,"=1",SmtRes!CV1:'SmtRes'!CV8)</f>
        <v>0.53439999999999999</v>
      </c>
      <c r="V62">
        <f>SUMIF(SmtRes!AQ1:'SmtRes'!AQ8,"=1",SmtRes!CW1:'SmtRes'!CW8)</f>
        <v>0.21648000000000001</v>
      </c>
      <c r="W62">
        <f t="shared" ref="W62:W85" si="32">ROUND(CX62*I62,2)</f>
        <v>0</v>
      </c>
      <c r="X62">
        <f t="shared" ref="X62:X85" si="33">ROUND(CY62,2)</f>
        <v>434.11</v>
      </c>
      <c r="Y62">
        <f t="shared" ref="Y62:Y85" si="34">ROUND(CZ62,2)</f>
        <v>299.38</v>
      </c>
      <c r="AA62">
        <v>65170852</v>
      </c>
      <c r="AB62">
        <f t="shared" ref="AB62:AB85" si="35">ROUND((AC62+AD62+AF62),6)</f>
        <v>55145.935360000003</v>
      </c>
      <c r="AC62">
        <f>ROUND((0),6)</f>
        <v>0</v>
      </c>
      <c r="AD62">
        <f>ROUND((((SUM(SmtRes!BR1:'SmtRes'!BR8))-(SUM(SmtRes!BS1:'SmtRes'!BS8)))+AE62),6)</f>
        <v>31278.562559999998</v>
      </c>
      <c r="AE62">
        <f>ROUND((SUM(SmtRes!BS1:'SmtRes'!BS8)),6)</f>
        <v>13556.147999999999</v>
      </c>
      <c r="AF62">
        <f>ROUND((SUM(SmtRes!BT1:'SmtRes'!BT8)),6)</f>
        <v>23867.372800000001</v>
      </c>
      <c r="AG62">
        <f t="shared" ref="AG62:AG85" si="36">ROUND((AP62),6)</f>
        <v>0</v>
      </c>
      <c r="AH62">
        <f>(SUM(SmtRes!BU1:'SmtRes'!BU8))</f>
        <v>53.44</v>
      </c>
      <c r="AI62">
        <f>(SUM(SmtRes!BV1:'SmtRes'!BV8))</f>
        <v>21.648000000000003</v>
      </c>
      <c r="AJ62">
        <f t="shared" ref="AJ62:AJ85" si="37">(AS62)</f>
        <v>0</v>
      </c>
      <c r="AK62">
        <v>92112.3272</v>
      </c>
      <c r="AL62">
        <v>6234.722999999999</v>
      </c>
      <c r="AM62">
        <v>39098.203199999996</v>
      </c>
      <c r="AN62">
        <v>16945.185000000001</v>
      </c>
      <c r="AO62">
        <v>29834.216</v>
      </c>
      <c r="AP62">
        <v>0</v>
      </c>
      <c r="AQ62">
        <v>66.8</v>
      </c>
      <c r="AR62">
        <v>27.060000000000002</v>
      </c>
      <c r="AS62">
        <v>0</v>
      </c>
      <c r="AT62">
        <v>116</v>
      </c>
      <c r="AU62">
        <v>80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77</v>
      </c>
      <c r="BM62">
        <v>7005</v>
      </c>
      <c r="BN62">
        <v>0</v>
      </c>
      <c r="BO62" t="s">
        <v>3</v>
      </c>
      <c r="BP62">
        <v>0</v>
      </c>
      <c r="BQ62">
        <v>2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116</v>
      </c>
      <c r="CA62">
        <v>80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788</v>
      </c>
      <c r="CO62">
        <v>0</v>
      </c>
      <c r="CP62">
        <f t="shared" ref="CP62:CP85" si="38">(P62+Q62+S62+R62)</f>
        <v>760.67000000000007</v>
      </c>
      <c r="CQ62">
        <f>SUMIF(SmtRes!AQ1:'SmtRes'!AQ8,"=1",SmtRes!AA1:'SmtRes'!AA8)</f>
        <v>4534.34</v>
      </c>
      <c r="CR62">
        <f>SUMIF(SmtRes!AQ1:'SmtRes'!AQ8,"=1",SmtRes!AB1:'SmtRes'!AB8)</f>
        <v>4309.6899999999996</v>
      </c>
      <c r="CS62">
        <f>SUMIF(SmtRes!AQ1:'SmtRes'!AQ8,"=1",SmtRes!AC1:'SmtRes'!AC8)</f>
        <v>1808.43</v>
      </c>
      <c r="CT62">
        <f>SUMIF(SmtRes!AQ1:'SmtRes'!AQ8,"=1",SmtRes!AD1:'SmtRes'!AD8)</f>
        <v>446.62</v>
      </c>
      <c r="CU62">
        <f t="shared" ref="CU62:CU85" si="39">AG62</f>
        <v>0</v>
      </c>
      <c r="CV62">
        <f>SUMIF(SmtRes!AQ1:'SmtRes'!AQ8,"=1",SmtRes!BU1:'SmtRes'!BU8)</f>
        <v>53.44</v>
      </c>
      <c r="CW62">
        <f>SUMIF(SmtRes!AQ1:'SmtRes'!AQ8,"=1",SmtRes!BV1:'SmtRes'!BV8)</f>
        <v>21.648000000000003</v>
      </c>
      <c r="CX62">
        <f t="shared" ref="CX62:CX85" si="40">AJ62</f>
        <v>0</v>
      </c>
      <c r="CY62">
        <f t="shared" ref="CY62:CY81" si="41">(((S62+R62)*AT62)/100)</f>
        <v>434.10680000000002</v>
      </c>
      <c r="CZ62">
        <f t="shared" ref="CZ62:CZ81" si="42">(((S62+R62)*AU62)/100)</f>
        <v>299.38400000000001</v>
      </c>
      <c r="DB62">
        <v>1</v>
      </c>
      <c r="DC62" t="s">
        <v>3</v>
      </c>
      <c r="DD62" t="s">
        <v>78</v>
      </c>
      <c r="DE62" t="s">
        <v>79</v>
      </c>
      <c r="DF62" t="s">
        <v>79</v>
      </c>
      <c r="DG62" t="s">
        <v>79</v>
      </c>
      <c r="DH62" t="s">
        <v>3</v>
      </c>
      <c r="DI62" t="s">
        <v>79</v>
      </c>
      <c r="DJ62" t="s">
        <v>79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1013</v>
      </c>
      <c r="DV62" t="s">
        <v>76</v>
      </c>
      <c r="DW62" t="s">
        <v>76</v>
      </c>
      <c r="DX62">
        <v>1</v>
      </c>
      <c r="DZ62" t="s">
        <v>3</v>
      </c>
      <c r="EA62" t="s">
        <v>3</v>
      </c>
      <c r="EB62" t="s">
        <v>3</v>
      </c>
      <c r="EC62" t="s">
        <v>3</v>
      </c>
      <c r="EE62">
        <v>64850954</v>
      </c>
      <c r="EF62">
        <v>2</v>
      </c>
      <c r="EG62" t="s">
        <v>80</v>
      </c>
      <c r="EH62">
        <v>7</v>
      </c>
      <c r="EI62" t="s">
        <v>81</v>
      </c>
      <c r="EJ62">
        <v>1</v>
      </c>
      <c r="EK62">
        <v>7005</v>
      </c>
      <c r="EL62" t="s">
        <v>82</v>
      </c>
      <c r="EM62" t="s">
        <v>83</v>
      </c>
      <c r="EO62" t="s">
        <v>84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66.8</v>
      </c>
      <c r="EX62">
        <v>27.06</v>
      </c>
      <c r="EY62">
        <v>0</v>
      </c>
      <c r="FQ62">
        <v>0</v>
      </c>
      <c r="FR62">
        <f t="shared" ref="FR62:FR85" si="43">ROUND(IF(BI62=3,GM62,0),2)</f>
        <v>0</v>
      </c>
      <c r="FS62">
        <v>0</v>
      </c>
      <c r="FX62">
        <v>116</v>
      </c>
      <c r="FY62">
        <v>80</v>
      </c>
      <c r="GA62" t="s">
        <v>3</v>
      </c>
      <c r="GD62">
        <v>1</v>
      </c>
      <c r="GF62">
        <v>212877731</v>
      </c>
      <c r="GG62">
        <v>2</v>
      </c>
      <c r="GH62">
        <v>1</v>
      </c>
      <c r="GI62">
        <v>-2</v>
      </c>
      <c r="GJ62">
        <v>0</v>
      </c>
      <c r="GK62">
        <v>0</v>
      </c>
      <c r="GL62">
        <f t="shared" ref="GL62:GL85" si="44">ROUND(IF(AND(BH62=3,BI62=3,FS62&lt;&gt;0),P62,0),2)</f>
        <v>0</v>
      </c>
      <c r="GM62">
        <f t="shared" ref="GM62:GM85" si="45">ROUND(O62+X62+Y62,2)+GX62</f>
        <v>1494.16</v>
      </c>
      <c r="GN62">
        <f t="shared" ref="GN62:GN85" si="46">IF(OR(BI62=0,BI62=1),GM62-GX62,0)</f>
        <v>1494.16</v>
      </c>
      <c r="GO62">
        <f t="shared" ref="GO62:GO85" si="47">IF(BI62=2,GM62-GX62,0)</f>
        <v>0</v>
      </c>
      <c r="GP62">
        <f t="shared" ref="GP62:GP85" si="48">IF(BI62=4,GM62-GX62,0)</f>
        <v>0</v>
      </c>
      <c r="GR62">
        <v>0</v>
      </c>
      <c r="GS62">
        <v>0</v>
      </c>
      <c r="GT62">
        <v>0</v>
      </c>
      <c r="GU62" t="s">
        <v>3</v>
      </c>
      <c r="GV62">
        <f t="shared" ref="GV62:GV85" si="49">ROUND((GT62),6)</f>
        <v>0</v>
      </c>
      <c r="GW62">
        <v>1</v>
      </c>
      <c r="GX62">
        <f t="shared" ref="GX62:GX85" si="50">ROUND(HC62*I62,2)</f>
        <v>0</v>
      </c>
      <c r="HA62">
        <v>0</v>
      </c>
      <c r="HB62">
        <v>0</v>
      </c>
      <c r="HC62">
        <f t="shared" ref="HC62:HC85" si="51">GV62*GW62</f>
        <v>0</v>
      </c>
      <c r="HE62" t="s">
        <v>3</v>
      </c>
      <c r="HF62" t="s">
        <v>3</v>
      </c>
      <c r="HM62" t="s">
        <v>3</v>
      </c>
      <c r="HN62" t="s">
        <v>85</v>
      </c>
      <c r="HO62" t="s">
        <v>86</v>
      </c>
      <c r="HP62" t="s">
        <v>82</v>
      </c>
      <c r="HQ62" t="s">
        <v>82</v>
      </c>
      <c r="IK62">
        <v>0</v>
      </c>
    </row>
    <row r="63" spans="1:245" x14ac:dyDescent="0.2">
      <c r="A63">
        <v>17</v>
      </c>
      <c r="B63">
        <v>1</v>
      </c>
      <c r="C63">
        <f>ROW(SmtRes!A16)</f>
        <v>16</v>
      </c>
      <c r="D63">
        <f>ROW(EtalonRes!A16)</f>
        <v>16</v>
      </c>
      <c r="E63" t="s">
        <v>87</v>
      </c>
      <c r="F63" t="s">
        <v>88</v>
      </c>
      <c r="G63" t="s">
        <v>89</v>
      </c>
      <c r="H63" t="s">
        <v>76</v>
      </c>
      <c r="I63">
        <f>ROUND(3/100,7)</f>
        <v>0.03</v>
      </c>
      <c r="J63">
        <v>0</v>
      </c>
      <c r="K63">
        <f>ROUND(3/100,7)</f>
        <v>0.03</v>
      </c>
      <c r="O63">
        <f t="shared" si="30"/>
        <v>3450.2</v>
      </c>
      <c r="P63">
        <f>SUMIF(SmtRes!AQ9:'SmtRes'!AQ16,"=1",SmtRes!DF9:'SmtRes'!DF16)</f>
        <v>0</v>
      </c>
      <c r="Q63">
        <f>SUMIF(SmtRes!AQ9:'SmtRes'!AQ16,"=1",SmtRes!DG9:'SmtRes'!DG16)</f>
        <v>1779.4099999999999</v>
      </c>
      <c r="R63">
        <f>SUMIF(SmtRes!AQ9:'SmtRes'!AQ16,"=1",SmtRes!DH9:'SmtRes'!DH16)</f>
        <v>641.74</v>
      </c>
      <c r="S63">
        <f>SUMIF(SmtRes!AQ9:'SmtRes'!AQ16,"=1",SmtRes!DI9:'SmtRes'!DI16)</f>
        <v>1029.05</v>
      </c>
      <c r="T63">
        <f t="shared" si="31"/>
        <v>0</v>
      </c>
      <c r="U63">
        <f>SUMIF(SmtRes!AQ9:'SmtRes'!AQ16,"=1",SmtRes!CV9:'SmtRes'!CV16)</f>
        <v>2.2488000000000001</v>
      </c>
      <c r="V63">
        <f>SUMIF(SmtRes!AQ9:'SmtRes'!AQ16,"=1",SmtRes!CW9:'SmtRes'!CW16)</f>
        <v>1.0334399999999999</v>
      </c>
      <c r="W63">
        <f t="shared" si="32"/>
        <v>0</v>
      </c>
      <c r="X63">
        <f t="shared" si="33"/>
        <v>1938.12</v>
      </c>
      <c r="Y63">
        <f t="shared" si="34"/>
        <v>1336.63</v>
      </c>
      <c r="AA63">
        <v>65170852</v>
      </c>
      <c r="AB63">
        <f t="shared" si="35"/>
        <v>82648.997359999994</v>
      </c>
      <c r="AC63">
        <f>ROUND((0),6)</f>
        <v>0</v>
      </c>
      <c r="AD63">
        <f>ROUND((((SUM(SmtRes!BR9:'SmtRes'!BR16))-(SUM(SmtRes!BS9:'SmtRes'!BS16)))+AE63),6)</f>
        <v>48347.301359999998</v>
      </c>
      <c r="AE63">
        <f>ROUND((SUM(SmtRes!BS9:'SmtRes'!BS16)),6)</f>
        <v>21391.1116</v>
      </c>
      <c r="AF63">
        <f>ROUND((SUM(SmtRes!BT9:'SmtRes'!BT16)),6)</f>
        <v>34301.696000000004</v>
      </c>
      <c r="AG63">
        <f t="shared" si="36"/>
        <v>0</v>
      </c>
      <c r="AH63">
        <f>(SUM(SmtRes!BU9:'SmtRes'!BU16))</f>
        <v>74.960000000000008</v>
      </c>
      <c r="AI63">
        <f>(SUM(SmtRes!BV9:'SmtRes'!BV16))</f>
        <v>34.448</v>
      </c>
      <c r="AJ63">
        <f t="shared" si="37"/>
        <v>0</v>
      </c>
      <c r="AK63">
        <v>141197.06519999998</v>
      </c>
      <c r="AL63">
        <v>11146.929</v>
      </c>
      <c r="AM63">
        <v>60434.126700000001</v>
      </c>
      <c r="AN63">
        <v>26738.889500000001</v>
      </c>
      <c r="AO63">
        <v>42877.120000000003</v>
      </c>
      <c r="AP63">
        <v>0</v>
      </c>
      <c r="AQ63">
        <v>93.7</v>
      </c>
      <c r="AR63">
        <v>43.06</v>
      </c>
      <c r="AS63">
        <v>0</v>
      </c>
      <c r="AT63">
        <v>116</v>
      </c>
      <c r="AU63">
        <v>80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90</v>
      </c>
      <c r="BM63">
        <v>7005</v>
      </c>
      <c r="BN63">
        <v>0</v>
      </c>
      <c r="BO63" t="s">
        <v>3</v>
      </c>
      <c r="BP63">
        <v>0</v>
      </c>
      <c r="BQ63">
        <v>2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116</v>
      </c>
      <c r="CA63">
        <v>80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788</v>
      </c>
      <c r="CO63">
        <v>0</v>
      </c>
      <c r="CP63">
        <f t="shared" si="38"/>
        <v>3450.2</v>
      </c>
      <c r="CQ63">
        <f>SUMIF(SmtRes!AQ9:'SmtRes'!AQ16,"=1",SmtRes!AA9:'SmtRes'!AA16)</f>
        <v>4534.34</v>
      </c>
      <c r="CR63">
        <f>SUMIF(SmtRes!AQ9:'SmtRes'!AQ16,"=1",SmtRes!AB9:'SmtRes'!AB16)</f>
        <v>4309.6899999999996</v>
      </c>
      <c r="CS63">
        <f>SUMIF(SmtRes!AQ9:'SmtRes'!AQ16,"=1",SmtRes!AC9:'SmtRes'!AC16)</f>
        <v>1808.43</v>
      </c>
      <c r="CT63">
        <f>SUMIF(SmtRes!AQ9:'SmtRes'!AQ16,"=1",SmtRes!AD9:'SmtRes'!AD16)</f>
        <v>457.6</v>
      </c>
      <c r="CU63">
        <f t="shared" si="39"/>
        <v>0</v>
      </c>
      <c r="CV63">
        <f>SUMIF(SmtRes!AQ9:'SmtRes'!AQ16,"=1",SmtRes!BU9:'SmtRes'!BU16)</f>
        <v>74.960000000000008</v>
      </c>
      <c r="CW63">
        <f>SUMIF(SmtRes!AQ9:'SmtRes'!AQ16,"=1",SmtRes!BV9:'SmtRes'!BV16)</f>
        <v>34.448</v>
      </c>
      <c r="CX63">
        <f t="shared" si="40"/>
        <v>0</v>
      </c>
      <c r="CY63">
        <f t="shared" si="41"/>
        <v>1938.1163999999999</v>
      </c>
      <c r="CZ63">
        <f t="shared" si="42"/>
        <v>1336.6320000000001</v>
      </c>
      <c r="DB63">
        <v>3</v>
      </c>
      <c r="DC63" t="s">
        <v>3</v>
      </c>
      <c r="DD63" t="s">
        <v>78</v>
      </c>
      <c r="DE63" t="s">
        <v>79</v>
      </c>
      <c r="DF63" t="s">
        <v>79</v>
      </c>
      <c r="DG63" t="s">
        <v>79</v>
      </c>
      <c r="DH63" t="s">
        <v>3</v>
      </c>
      <c r="DI63" t="s">
        <v>79</v>
      </c>
      <c r="DJ63" t="s">
        <v>79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1013</v>
      </c>
      <c r="DV63" t="s">
        <v>76</v>
      </c>
      <c r="DW63" t="s">
        <v>76</v>
      </c>
      <c r="DX63">
        <v>1</v>
      </c>
      <c r="DZ63" t="s">
        <v>3</v>
      </c>
      <c r="EA63" t="s">
        <v>3</v>
      </c>
      <c r="EB63" t="s">
        <v>3</v>
      </c>
      <c r="EC63" t="s">
        <v>3</v>
      </c>
      <c r="EE63">
        <v>64850954</v>
      </c>
      <c r="EF63">
        <v>2</v>
      </c>
      <c r="EG63" t="s">
        <v>80</v>
      </c>
      <c r="EH63">
        <v>7</v>
      </c>
      <c r="EI63" t="s">
        <v>81</v>
      </c>
      <c r="EJ63">
        <v>1</v>
      </c>
      <c r="EK63">
        <v>7005</v>
      </c>
      <c r="EL63" t="s">
        <v>82</v>
      </c>
      <c r="EM63" t="s">
        <v>83</v>
      </c>
      <c r="EO63" t="s">
        <v>84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93.7</v>
      </c>
      <c r="EX63">
        <v>43.06</v>
      </c>
      <c r="EY63">
        <v>0</v>
      </c>
      <c r="FQ63">
        <v>0</v>
      </c>
      <c r="FR63">
        <f t="shared" si="43"/>
        <v>0</v>
      </c>
      <c r="FS63">
        <v>0</v>
      </c>
      <c r="FX63">
        <v>116</v>
      </c>
      <c r="FY63">
        <v>80</v>
      </c>
      <c r="GA63" t="s">
        <v>3</v>
      </c>
      <c r="GD63">
        <v>1</v>
      </c>
      <c r="GF63">
        <v>554150289</v>
      </c>
      <c r="GG63">
        <v>2</v>
      </c>
      <c r="GH63">
        <v>1</v>
      </c>
      <c r="GI63">
        <v>-2</v>
      </c>
      <c r="GJ63">
        <v>0</v>
      </c>
      <c r="GK63">
        <v>0</v>
      </c>
      <c r="GL63">
        <f t="shared" si="44"/>
        <v>0</v>
      </c>
      <c r="GM63">
        <f t="shared" si="45"/>
        <v>6724.95</v>
      </c>
      <c r="GN63">
        <f t="shared" si="46"/>
        <v>6724.95</v>
      </c>
      <c r="GO63">
        <f t="shared" si="47"/>
        <v>0</v>
      </c>
      <c r="GP63">
        <f t="shared" si="48"/>
        <v>0</v>
      </c>
      <c r="GR63">
        <v>0</v>
      </c>
      <c r="GS63">
        <v>0</v>
      </c>
      <c r="GT63">
        <v>0</v>
      </c>
      <c r="GU63" t="s">
        <v>3</v>
      </c>
      <c r="GV63">
        <f t="shared" si="49"/>
        <v>0</v>
      </c>
      <c r="GW63">
        <v>1</v>
      </c>
      <c r="GX63">
        <f t="shared" si="50"/>
        <v>0</v>
      </c>
      <c r="HA63">
        <v>0</v>
      </c>
      <c r="HB63">
        <v>0</v>
      </c>
      <c r="HC63">
        <f t="shared" si="51"/>
        <v>0</v>
      </c>
      <c r="HE63" t="s">
        <v>3</v>
      </c>
      <c r="HF63" t="s">
        <v>3</v>
      </c>
      <c r="HM63" t="s">
        <v>3</v>
      </c>
      <c r="HN63" t="s">
        <v>85</v>
      </c>
      <c r="HO63" t="s">
        <v>86</v>
      </c>
      <c r="HP63" t="s">
        <v>82</v>
      </c>
      <c r="HQ63" t="s">
        <v>82</v>
      </c>
      <c r="IK63">
        <v>0</v>
      </c>
    </row>
    <row r="64" spans="1:245" x14ac:dyDescent="0.2">
      <c r="A64">
        <v>17</v>
      </c>
      <c r="B64">
        <v>1</v>
      </c>
      <c r="C64">
        <f>ROW(SmtRes!A38)</f>
        <v>38</v>
      </c>
      <c r="D64">
        <f>ROW(EtalonRes!A38)</f>
        <v>38</v>
      </c>
      <c r="E64" t="s">
        <v>91</v>
      </c>
      <c r="F64" t="s">
        <v>92</v>
      </c>
      <c r="G64" t="s">
        <v>93</v>
      </c>
      <c r="H64" t="s">
        <v>94</v>
      </c>
      <c r="I64">
        <v>0.11544</v>
      </c>
      <c r="J64">
        <v>0</v>
      </c>
      <c r="K64">
        <v>0.11544</v>
      </c>
      <c r="O64">
        <f t="shared" si="30"/>
        <v>2316.27</v>
      </c>
      <c r="P64">
        <f>SUMIF(SmtRes!AQ17:'SmtRes'!AQ38,"=1",SmtRes!DF17:'SmtRes'!DF38)</f>
        <v>0</v>
      </c>
      <c r="Q64">
        <f>SUMIF(SmtRes!AQ17:'SmtRes'!AQ38,"=1",SmtRes!DG17:'SmtRes'!DG38)</f>
        <v>677.96</v>
      </c>
      <c r="R64">
        <f>SUMIF(SmtRes!AQ17:'SmtRes'!AQ38,"=1",SmtRes!DH17:'SmtRes'!DH38)</f>
        <v>210.93</v>
      </c>
      <c r="S64">
        <f>SUMIF(SmtRes!AQ17:'SmtRes'!AQ38,"=1",SmtRes!DI17:'SmtRes'!DI38)</f>
        <v>1427.38</v>
      </c>
      <c r="T64">
        <f t="shared" si="31"/>
        <v>0</v>
      </c>
      <c r="U64">
        <f>SUMIF(SmtRes!AQ17:'SmtRes'!AQ38,"=1",SmtRes!CV17:'SmtRes'!CV38)</f>
        <v>3.1959564</v>
      </c>
      <c r="V64">
        <f>SUMIF(SmtRes!AQ17:'SmtRes'!AQ38,"=1",SmtRes!CW17:'SmtRes'!CW38)</f>
        <v>0.32404010000000005</v>
      </c>
      <c r="W64">
        <f t="shared" si="32"/>
        <v>0</v>
      </c>
      <c r="X64">
        <f t="shared" si="33"/>
        <v>1523.63</v>
      </c>
      <c r="Y64">
        <f t="shared" si="34"/>
        <v>1015.75</v>
      </c>
      <c r="AA64">
        <v>65170852</v>
      </c>
      <c r="AB64">
        <f t="shared" si="35"/>
        <v>16985.885419999999</v>
      </c>
      <c r="AC64">
        <f>ROUND((0),6)</f>
        <v>0</v>
      </c>
      <c r="AD64">
        <f>ROUND((((SUM(SmtRes!BR17:'SmtRes'!BR38))-(SUM(SmtRes!BS17:'SmtRes'!BS38)))+AE64),6)</f>
        <v>4621.21072</v>
      </c>
      <c r="AE64">
        <f>ROUND((SUM(SmtRes!BS17:'SmtRes'!BS38)),6)</f>
        <v>1827.2487100000001</v>
      </c>
      <c r="AF64">
        <f>ROUND((SUM(SmtRes!BT17:'SmtRes'!BT38)),6)</f>
        <v>12364.6747</v>
      </c>
      <c r="AG64">
        <f t="shared" si="36"/>
        <v>0</v>
      </c>
      <c r="AH64">
        <f>(SUM(SmtRes!BU17:'SmtRes'!BU38))</f>
        <v>27.684999999999995</v>
      </c>
      <c r="AI64">
        <f>(SUM(SmtRes!BV17:'SmtRes'!BV38))</f>
        <v>2.8069999999999999</v>
      </c>
      <c r="AJ64">
        <f t="shared" si="37"/>
        <v>0</v>
      </c>
      <c r="AK64">
        <v>31180.197740399995</v>
      </c>
      <c r="AL64">
        <v>4304.2918403999993</v>
      </c>
      <c r="AM64">
        <v>6601.7295999999988</v>
      </c>
      <c r="AN64">
        <v>2610.3553000000002</v>
      </c>
      <c r="AO64">
        <v>17663.821</v>
      </c>
      <c r="AP64">
        <v>0</v>
      </c>
      <c r="AQ64">
        <v>39.549999999999997</v>
      </c>
      <c r="AR64">
        <v>4.0100000000000007</v>
      </c>
      <c r="AS64">
        <v>0</v>
      </c>
      <c r="AT64">
        <v>93</v>
      </c>
      <c r="AU64">
        <v>62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1</v>
      </c>
      <c r="BJ64" t="s">
        <v>95</v>
      </c>
      <c r="BM64">
        <v>9001</v>
      </c>
      <c r="BN64">
        <v>0</v>
      </c>
      <c r="BO64" t="s">
        <v>3</v>
      </c>
      <c r="BP64">
        <v>0</v>
      </c>
      <c r="BQ64">
        <v>2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93</v>
      </c>
      <c r="CA64">
        <v>62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96</v>
      </c>
      <c r="CO64">
        <v>0</v>
      </c>
      <c r="CP64">
        <f t="shared" si="38"/>
        <v>2316.27</v>
      </c>
      <c r="CQ64">
        <f>SUMIF(SmtRes!AQ17:'SmtRes'!AQ38,"=1",SmtRes!AA17:'SmtRes'!AA38)</f>
        <v>968115.58</v>
      </c>
      <c r="CR64">
        <f>SUMIF(SmtRes!AQ17:'SmtRes'!AQ38,"=1",SmtRes!AB17:'SmtRes'!AB38)</f>
        <v>6685.6100000000006</v>
      </c>
      <c r="CS64">
        <f>SUMIF(SmtRes!AQ17:'SmtRes'!AQ38,"=1",SmtRes!AC17:'SmtRes'!AC38)</f>
        <v>2467.3700000000003</v>
      </c>
      <c r="CT64">
        <f>SUMIF(SmtRes!AQ17:'SmtRes'!AQ38,"=1",SmtRes!AD17:'SmtRes'!AD38)</f>
        <v>446.62</v>
      </c>
      <c r="CU64">
        <f t="shared" si="39"/>
        <v>0</v>
      </c>
      <c r="CV64">
        <f>SUMIF(SmtRes!AQ17:'SmtRes'!AQ38,"=1",SmtRes!BU17:'SmtRes'!BU38)</f>
        <v>27.684999999999995</v>
      </c>
      <c r="CW64">
        <f>SUMIF(SmtRes!AQ17:'SmtRes'!AQ38,"=1",SmtRes!BV17:'SmtRes'!BV38)</f>
        <v>2.8069999999999999</v>
      </c>
      <c r="CX64">
        <f t="shared" si="40"/>
        <v>0</v>
      </c>
      <c r="CY64">
        <f t="shared" si="41"/>
        <v>1523.6283000000001</v>
      </c>
      <c r="CZ64">
        <f t="shared" si="42"/>
        <v>1015.7522000000001</v>
      </c>
      <c r="DB64">
        <v>5</v>
      </c>
      <c r="DC64" t="s">
        <v>3</v>
      </c>
      <c r="DD64" t="s">
        <v>97</v>
      </c>
      <c r="DE64" t="s">
        <v>98</v>
      </c>
      <c r="DF64" t="s">
        <v>98</v>
      </c>
      <c r="DG64" t="s">
        <v>98</v>
      </c>
      <c r="DH64" t="s">
        <v>3</v>
      </c>
      <c r="DI64" t="s">
        <v>98</v>
      </c>
      <c r="DJ64" t="s">
        <v>98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1009</v>
      </c>
      <c r="DV64" t="s">
        <v>94</v>
      </c>
      <c r="DW64" t="s">
        <v>94</v>
      </c>
      <c r="DX64">
        <v>1000</v>
      </c>
      <c r="DZ64" t="s">
        <v>3</v>
      </c>
      <c r="EA64" t="s">
        <v>3</v>
      </c>
      <c r="EB64" t="s">
        <v>3</v>
      </c>
      <c r="EC64" t="s">
        <v>3</v>
      </c>
      <c r="EE64">
        <v>64851001</v>
      </c>
      <c r="EF64">
        <v>2</v>
      </c>
      <c r="EG64" t="s">
        <v>80</v>
      </c>
      <c r="EH64">
        <v>9</v>
      </c>
      <c r="EI64" t="s">
        <v>99</v>
      </c>
      <c r="EJ64">
        <v>1</v>
      </c>
      <c r="EK64">
        <v>9001</v>
      </c>
      <c r="EL64" t="s">
        <v>99</v>
      </c>
      <c r="EM64" t="s">
        <v>100</v>
      </c>
      <c r="EO64" t="s">
        <v>101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39.549999999999997</v>
      </c>
      <c r="EX64">
        <v>4.01</v>
      </c>
      <c r="EY64">
        <v>0</v>
      </c>
      <c r="FQ64">
        <v>0</v>
      </c>
      <c r="FR64">
        <f t="shared" si="43"/>
        <v>0</v>
      </c>
      <c r="FS64">
        <v>0</v>
      </c>
      <c r="FX64">
        <v>93</v>
      </c>
      <c r="FY64">
        <v>62</v>
      </c>
      <c r="GA64" t="s">
        <v>3</v>
      </c>
      <c r="GD64">
        <v>1</v>
      </c>
      <c r="GF64">
        <v>-335706762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 t="shared" si="44"/>
        <v>0</v>
      </c>
      <c r="GM64">
        <f t="shared" si="45"/>
        <v>4855.6499999999996</v>
      </c>
      <c r="GN64">
        <f t="shared" si="46"/>
        <v>4855.6499999999996</v>
      </c>
      <c r="GO64">
        <f t="shared" si="47"/>
        <v>0</v>
      </c>
      <c r="GP64">
        <f t="shared" si="48"/>
        <v>0</v>
      </c>
      <c r="GR64">
        <v>0</v>
      </c>
      <c r="GS64">
        <v>0</v>
      </c>
      <c r="GT64">
        <v>0</v>
      </c>
      <c r="GU64" t="s">
        <v>3</v>
      </c>
      <c r="GV64">
        <f t="shared" si="49"/>
        <v>0</v>
      </c>
      <c r="GW64">
        <v>1</v>
      </c>
      <c r="GX64">
        <f t="shared" si="50"/>
        <v>0</v>
      </c>
      <c r="HA64">
        <v>0</v>
      </c>
      <c r="HB64">
        <v>0</v>
      </c>
      <c r="HC64">
        <f t="shared" si="51"/>
        <v>0</v>
      </c>
      <c r="HE64" t="s">
        <v>3</v>
      </c>
      <c r="HF64" t="s">
        <v>3</v>
      </c>
      <c r="HM64" t="s">
        <v>3</v>
      </c>
      <c r="HN64" t="s">
        <v>102</v>
      </c>
      <c r="HO64" t="s">
        <v>103</v>
      </c>
      <c r="HP64" t="s">
        <v>99</v>
      </c>
      <c r="HQ64" t="s">
        <v>99</v>
      </c>
      <c r="IK64">
        <v>0</v>
      </c>
    </row>
    <row r="65" spans="1:245" x14ac:dyDescent="0.2">
      <c r="A65">
        <v>17</v>
      </c>
      <c r="B65">
        <v>1</v>
      </c>
      <c r="C65">
        <f>ROW(SmtRes!A39)</f>
        <v>39</v>
      </c>
      <c r="D65">
        <f>ROW(EtalonRes!A39)</f>
        <v>39</v>
      </c>
      <c r="E65" t="s">
        <v>104</v>
      </c>
      <c r="F65" t="s">
        <v>105</v>
      </c>
      <c r="G65" t="s">
        <v>106</v>
      </c>
      <c r="H65" t="s">
        <v>107</v>
      </c>
      <c r="I65">
        <f>ROUND(40/100,7)</f>
        <v>0.4</v>
      </c>
      <c r="J65">
        <v>0</v>
      </c>
      <c r="K65">
        <f>ROUND(40/100,7)</f>
        <v>0.4</v>
      </c>
      <c r="O65">
        <f t="shared" si="30"/>
        <v>1628.04</v>
      </c>
      <c r="P65">
        <f>SUMIF(SmtRes!AQ39:'SmtRes'!AQ39,"=1",SmtRes!DF39:'SmtRes'!DF39)</f>
        <v>0</v>
      </c>
      <c r="Q65">
        <f>SUMIF(SmtRes!AQ39:'SmtRes'!AQ39,"=1",SmtRes!DG39:'SmtRes'!DG39)</f>
        <v>0</v>
      </c>
      <c r="R65">
        <f>SUMIF(SmtRes!AQ39:'SmtRes'!AQ39,"=1",SmtRes!DH39:'SmtRes'!DH39)</f>
        <v>0</v>
      </c>
      <c r="S65">
        <f>SUMIF(SmtRes!AQ39:'SmtRes'!AQ39,"=1",SmtRes!DI39:'SmtRes'!DI39)</f>
        <v>1628.04</v>
      </c>
      <c r="T65">
        <f t="shared" si="31"/>
        <v>0</v>
      </c>
      <c r="U65">
        <f>SUMIF(SmtRes!AQ39:'SmtRes'!AQ39,"=1",SmtRes!CV39:'SmtRes'!CV39)</f>
        <v>4.08</v>
      </c>
      <c r="V65">
        <f>SUMIF(SmtRes!AQ39:'SmtRes'!AQ39,"=1",SmtRes!CW39:'SmtRes'!CW39)</f>
        <v>0</v>
      </c>
      <c r="W65">
        <f t="shared" si="32"/>
        <v>0</v>
      </c>
      <c r="X65">
        <f t="shared" si="33"/>
        <v>1676.88</v>
      </c>
      <c r="Y65">
        <f t="shared" si="34"/>
        <v>1172.19</v>
      </c>
      <c r="AA65">
        <v>65170852</v>
      </c>
      <c r="AB65">
        <f t="shared" si="35"/>
        <v>4070.1060000000002</v>
      </c>
      <c r="AC65">
        <f>ROUND((0),6)</f>
        <v>0</v>
      </c>
      <c r="AD65">
        <f>ROUND((((0)-(0))+AE65),6)</f>
        <v>0</v>
      </c>
      <c r="AE65">
        <f>ROUND((0),6)</f>
        <v>0</v>
      </c>
      <c r="AF65">
        <f>ROUND((SUM(SmtRes!BT39:'SmtRes'!BT39)),6)</f>
        <v>4070.1060000000002</v>
      </c>
      <c r="AG65">
        <f t="shared" si="36"/>
        <v>0</v>
      </c>
      <c r="AH65">
        <f>(SUM(SmtRes!BU39:'SmtRes'!BU39))</f>
        <v>10.199999999999999</v>
      </c>
      <c r="AI65">
        <f>(0)</f>
        <v>0</v>
      </c>
      <c r="AJ65">
        <f t="shared" si="37"/>
        <v>0</v>
      </c>
      <c r="AK65">
        <v>4070.1059999999993</v>
      </c>
      <c r="AL65">
        <v>0</v>
      </c>
      <c r="AM65">
        <v>0</v>
      </c>
      <c r="AN65">
        <v>0</v>
      </c>
      <c r="AO65">
        <v>4070.1059999999993</v>
      </c>
      <c r="AP65">
        <v>0</v>
      </c>
      <c r="AQ65">
        <v>10.199999999999999</v>
      </c>
      <c r="AR65">
        <v>0</v>
      </c>
      <c r="AS65">
        <v>0</v>
      </c>
      <c r="AT65">
        <v>103</v>
      </c>
      <c r="AU65">
        <v>72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3</v>
      </c>
      <c r="BE65" t="s">
        <v>3</v>
      </c>
      <c r="BF65" t="s">
        <v>3</v>
      </c>
      <c r="BG65" t="s">
        <v>3</v>
      </c>
      <c r="BH65">
        <v>0</v>
      </c>
      <c r="BI65">
        <v>1</v>
      </c>
      <c r="BJ65" t="s">
        <v>108</v>
      </c>
      <c r="BM65">
        <v>47001</v>
      </c>
      <c r="BN65">
        <v>0</v>
      </c>
      <c r="BO65" t="s">
        <v>3</v>
      </c>
      <c r="BP65">
        <v>0</v>
      </c>
      <c r="BQ65">
        <v>2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103</v>
      </c>
      <c r="CA65">
        <v>72</v>
      </c>
      <c r="CB65" t="s">
        <v>3</v>
      </c>
      <c r="CE65">
        <v>0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si="38"/>
        <v>1628.04</v>
      </c>
      <c r="CQ65">
        <f>SUMIF(SmtRes!AQ39:'SmtRes'!AQ39,"=1",SmtRes!AA39:'SmtRes'!AA39)</f>
        <v>0</v>
      </c>
      <c r="CR65">
        <f>SUMIF(SmtRes!AQ39:'SmtRes'!AQ39,"=1",SmtRes!AB39:'SmtRes'!AB39)</f>
        <v>0</v>
      </c>
      <c r="CS65">
        <f>SUMIF(SmtRes!AQ39:'SmtRes'!AQ39,"=1",SmtRes!AC39:'SmtRes'!AC39)</f>
        <v>0</v>
      </c>
      <c r="CT65">
        <f>SUMIF(SmtRes!AQ39:'SmtRes'!AQ39,"=1",SmtRes!AD39:'SmtRes'!AD39)</f>
        <v>399.03</v>
      </c>
      <c r="CU65">
        <f t="shared" si="39"/>
        <v>0</v>
      </c>
      <c r="CV65">
        <f>SUMIF(SmtRes!AQ39:'SmtRes'!AQ39,"=1",SmtRes!BU39:'SmtRes'!BU39)</f>
        <v>10.199999999999999</v>
      </c>
      <c r="CW65">
        <f>SUMIF(SmtRes!AQ39:'SmtRes'!AQ39,"=1",SmtRes!BV39:'SmtRes'!BV39)</f>
        <v>0</v>
      </c>
      <c r="CX65">
        <f t="shared" si="40"/>
        <v>0</v>
      </c>
      <c r="CY65">
        <f t="shared" si="41"/>
        <v>1676.8812</v>
      </c>
      <c r="CZ65">
        <f t="shared" si="42"/>
        <v>1172.1888000000001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1005</v>
      </c>
      <c r="DV65" t="s">
        <v>107</v>
      </c>
      <c r="DW65" t="s">
        <v>107</v>
      </c>
      <c r="DX65">
        <v>100</v>
      </c>
      <c r="DZ65" t="s">
        <v>3</v>
      </c>
      <c r="EA65" t="s">
        <v>3</v>
      </c>
      <c r="EB65" t="s">
        <v>3</v>
      </c>
      <c r="EC65" t="s">
        <v>3</v>
      </c>
      <c r="EE65">
        <v>64851070</v>
      </c>
      <c r="EF65">
        <v>2</v>
      </c>
      <c r="EG65" t="s">
        <v>80</v>
      </c>
      <c r="EH65">
        <v>41</v>
      </c>
      <c r="EI65" t="s">
        <v>109</v>
      </c>
      <c r="EJ65">
        <v>1</v>
      </c>
      <c r="EK65">
        <v>47001</v>
      </c>
      <c r="EL65" t="s">
        <v>109</v>
      </c>
      <c r="EM65" t="s">
        <v>110</v>
      </c>
      <c r="EO65" t="s">
        <v>3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10.199999999999999</v>
      </c>
      <c r="EX65">
        <v>0</v>
      </c>
      <c r="EY65">
        <v>0</v>
      </c>
      <c r="FQ65">
        <v>0</v>
      </c>
      <c r="FR65">
        <f t="shared" si="43"/>
        <v>0</v>
      </c>
      <c r="FS65">
        <v>0</v>
      </c>
      <c r="FX65">
        <v>103</v>
      </c>
      <c r="FY65">
        <v>72</v>
      </c>
      <c r="GA65" t="s">
        <v>3</v>
      </c>
      <c r="GD65">
        <v>1</v>
      </c>
      <c r="GF65">
        <v>-1863453640</v>
      </c>
      <c r="GG65">
        <v>2</v>
      </c>
      <c r="GH65">
        <v>1</v>
      </c>
      <c r="GI65">
        <v>-2</v>
      </c>
      <c r="GJ65">
        <v>0</v>
      </c>
      <c r="GK65">
        <v>0</v>
      </c>
      <c r="GL65">
        <f t="shared" si="44"/>
        <v>0</v>
      </c>
      <c r="GM65">
        <f t="shared" si="45"/>
        <v>4477.1099999999997</v>
      </c>
      <c r="GN65">
        <f t="shared" si="46"/>
        <v>4477.1099999999997</v>
      </c>
      <c r="GO65">
        <f t="shared" si="47"/>
        <v>0</v>
      </c>
      <c r="GP65">
        <f t="shared" si="48"/>
        <v>0</v>
      </c>
      <c r="GR65">
        <v>0</v>
      </c>
      <c r="GS65">
        <v>0</v>
      </c>
      <c r="GT65">
        <v>0</v>
      </c>
      <c r="GU65" t="s">
        <v>3</v>
      </c>
      <c r="GV65">
        <f t="shared" si="49"/>
        <v>0</v>
      </c>
      <c r="GW65">
        <v>1</v>
      </c>
      <c r="GX65">
        <f t="shared" si="50"/>
        <v>0</v>
      </c>
      <c r="HA65">
        <v>0</v>
      </c>
      <c r="HB65">
        <v>0</v>
      </c>
      <c r="HC65">
        <f t="shared" si="51"/>
        <v>0</v>
      </c>
      <c r="HE65" t="s">
        <v>3</v>
      </c>
      <c r="HF65" t="s">
        <v>3</v>
      </c>
      <c r="HM65" t="s">
        <v>3</v>
      </c>
      <c r="HN65" t="s">
        <v>111</v>
      </c>
      <c r="HO65" t="s">
        <v>112</v>
      </c>
      <c r="HP65" t="s">
        <v>109</v>
      </c>
      <c r="HQ65" t="s">
        <v>109</v>
      </c>
      <c r="IK65">
        <v>0</v>
      </c>
    </row>
    <row r="66" spans="1:245" x14ac:dyDescent="0.2">
      <c r="A66">
        <v>17</v>
      </c>
      <c r="B66">
        <v>1</v>
      </c>
      <c r="C66">
        <f>ROW(SmtRes!A40)</f>
        <v>40</v>
      </c>
      <c r="D66">
        <f>ROW(EtalonRes!A40)</f>
        <v>40</v>
      </c>
      <c r="E66" t="s">
        <v>113</v>
      </c>
      <c r="F66" t="s">
        <v>114</v>
      </c>
      <c r="G66" t="s">
        <v>115</v>
      </c>
      <c r="H66" t="s">
        <v>116</v>
      </c>
      <c r="I66">
        <f>ROUND(4/100,7)</f>
        <v>0.04</v>
      </c>
      <c r="J66">
        <v>0</v>
      </c>
      <c r="K66">
        <f>ROUND(4/100,7)</f>
        <v>0.04</v>
      </c>
      <c r="O66">
        <f t="shared" si="30"/>
        <v>2826.73</v>
      </c>
      <c r="P66">
        <f>SUMIF(SmtRes!AQ40:'SmtRes'!AQ40,"=1",SmtRes!DF40:'SmtRes'!DF40)</f>
        <v>0</v>
      </c>
      <c r="Q66">
        <f>SUMIF(SmtRes!AQ40:'SmtRes'!AQ40,"=1",SmtRes!DG40:'SmtRes'!DG40)</f>
        <v>0</v>
      </c>
      <c r="R66">
        <f>SUMIF(SmtRes!AQ40:'SmtRes'!AQ40,"=1",SmtRes!DH40:'SmtRes'!DH40)</f>
        <v>0</v>
      </c>
      <c r="S66">
        <f>SUMIF(SmtRes!AQ40:'SmtRes'!AQ40,"=1",SmtRes!DI40:'SmtRes'!DI40)</f>
        <v>2826.73</v>
      </c>
      <c r="T66">
        <f t="shared" si="31"/>
        <v>0</v>
      </c>
      <c r="U66">
        <f>SUMIF(SmtRes!AQ40:'SmtRes'!AQ40,"=1",SmtRes!CV40:'SmtRes'!CV40)</f>
        <v>7.0839999999999996</v>
      </c>
      <c r="V66">
        <f>SUMIF(SmtRes!AQ40:'SmtRes'!AQ40,"=1",SmtRes!CW40:'SmtRes'!CW40)</f>
        <v>0</v>
      </c>
      <c r="W66">
        <f t="shared" si="32"/>
        <v>0</v>
      </c>
      <c r="X66">
        <f t="shared" si="33"/>
        <v>2515.79</v>
      </c>
      <c r="Y66">
        <f t="shared" si="34"/>
        <v>1130.69</v>
      </c>
      <c r="AA66">
        <v>65170852</v>
      </c>
      <c r="AB66">
        <f t="shared" si="35"/>
        <v>70668.213000000003</v>
      </c>
      <c r="AC66">
        <f>ROUND((0),6)</f>
        <v>0</v>
      </c>
      <c r="AD66">
        <f>ROUND((((0)-(0))+AE66),6)</f>
        <v>0</v>
      </c>
      <c r="AE66">
        <f>ROUND((0),6)</f>
        <v>0</v>
      </c>
      <c r="AF66">
        <f>ROUND((SUM(SmtRes!BT40:'SmtRes'!BT40)),6)</f>
        <v>70668.213000000003</v>
      </c>
      <c r="AG66">
        <f t="shared" si="36"/>
        <v>0</v>
      </c>
      <c r="AH66">
        <f>(SUM(SmtRes!BU40:'SmtRes'!BU40))</f>
        <v>177.1</v>
      </c>
      <c r="AI66">
        <f>(0)</f>
        <v>0</v>
      </c>
      <c r="AJ66">
        <f t="shared" si="37"/>
        <v>0</v>
      </c>
      <c r="AK66">
        <v>61450.619999999995</v>
      </c>
      <c r="AL66">
        <v>0</v>
      </c>
      <c r="AM66">
        <v>0</v>
      </c>
      <c r="AN66">
        <v>0</v>
      </c>
      <c r="AO66">
        <v>61450.619999999995</v>
      </c>
      <c r="AP66">
        <v>0</v>
      </c>
      <c r="AQ66">
        <v>154</v>
      </c>
      <c r="AR66">
        <v>0</v>
      </c>
      <c r="AS66">
        <v>0</v>
      </c>
      <c r="AT66">
        <v>89</v>
      </c>
      <c r="AU66">
        <v>40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1</v>
      </c>
      <c r="BJ66" t="s">
        <v>117</v>
      </c>
      <c r="BM66">
        <v>1003</v>
      </c>
      <c r="BN66">
        <v>0</v>
      </c>
      <c r="BO66" t="s">
        <v>3</v>
      </c>
      <c r="BP66">
        <v>0</v>
      </c>
      <c r="BQ66">
        <v>2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89</v>
      </c>
      <c r="CA66">
        <v>40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118</v>
      </c>
      <c r="CO66">
        <v>0</v>
      </c>
      <c r="CP66">
        <f t="shared" si="38"/>
        <v>2826.73</v>
      </c>
      <c r="CQ66">
        <f>SUMIF(SmtRes!AQ40:'SmtRes'!AQ40,"=1",SmtRes!AA40:'SmtRes'!AA40)</f>
        <v>0</v>
      </c>
      <c r="CR66">
        <f>SUMIF(SmtRes!AQ40:'SmtRes'!AQ40,"=1",SmtRes!AB40:'SmtRes'!AB40)</f>
        <v>0</v>
      </c>
      <c r="CS66">
        <f>SUMIF(SmtRes!AQ40:'SmtRes'!AQ40,"=1",SmtRes!AC40:'SmtRes'!AC40)</f>
        <v>0</v>
      </c>
      <c r="CT66">
        <f>SUMIF(SmtRes!AQ40:'SmtRes'!AQ40,"=1",SmtRes!AD40:'SmtRes'!AD40)</f>
        <v>399.03</v>
      </c>
      <c r="CU66">
        <f t="shared" si="39"/>
        <v>0</v>
      </c>
      <c r="CV66">
        <f>SUMIF(SmtRes!AQ40:'SmtRes'!AQ40,"=1",SmtRes!BU40:'SmtRes'!BU40)</f>
        <v>177.1</v>
      </c>
      <c r="CW66">
        <f>SUMIF(SmtRes!AQ40:'SmtRes'!AQ40,"=1",SmtRes!BV40:'SmtRes'!BV40)</f>
        <v>0</v>
      </c>
      <c r="CX66">
        <f t="shared" si="40"/>
        <v>0</v>
      </c>
      <c r="CY66">
        <f t="shared" si="41"/>
        <v>2515.7896999999998</v>
      </c>
      <c r="CZ66">
        <f t="shared" si="42"/>
        <v>1130.692</v>
      </c>
      <c r="DB66">
        <v>6</v>
      </c>
      <c r="DC66" t="s">
        <v>3</v>
      </c>
      <c r="DD66" t="s">
        <v>3</v>
      </c>
      <c r="DE66" t="s">
        <v>3</v>
      </c>
      <c r="DF66" t="s">
        <v>3</v>
      </c>
      <c r="DG66" t="s">
        <v>119</v>
      </c>
      <c r="DH66" t="s">
        <v>3</v>
      </c>
      <c r="DI66" t="s">
        <v>119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1007</v>
      </c>
      <c r="DV66" t="s">
        <v>116</v>
      </c>
      <c r="DW66" t="s">
        <v>116</v>
      </c>
      <c r="DX66">
        <v>100</v>
      </c>
      <c r="DZ66" t="s">
        <v>3</v>
      </c>
      <c r="EA66" t="s">
        <v>3</v>
      </c>
      <c r="EB66" t="s">
        <v>3</v>
      </c>
      <c r="EC66" t="s">
        <v>3</v>
      </c>
      <c r="EE66">
        <v>64850978</v>
      </c>
      <c r="EF66">
        <v>2</v>
      </c>
      <c r="EG66" t="s">
        <v>80</v>
      </c>
      <c r="EH66">
        <v>1</v>
      </c>
      <c r="EI66" t="s">
        <v>120</v>
      </c>
      <c r="EJ66">
        <v>1</v>
      </c>
      <c r="EK66">
        <v>1003</v>
      </c>
      <c r="EL66" t="s">
        <v>121</v>
      </c>
      <c r="EM66" t="s">
        <v>122</v>
      </c>
      <c r="EO66" t="s">
        <v>123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154</v>
      </c>
      <c r="EX66">
        <v>0</v>
      </c>
      <c r="EY66">
        <v>0</v>
      </c>
      <c r="FQ66">
        <v>0</v>
      </c>
      <c r="FR66">
        <f t="shared" si="43"/>
        <v>0</v>
      </c>
      <c r="FS66">
        <v>0</v>
      </c>
      <c r="FX66">
        <v>89</v>
      </c>
      <c r="FY66">
        <v>40</v>
      </c>
      <c r="GA66" t="s">
        <v>3</v>
      </c>
      <c r="GD66">
        <v>1</v>
      </c>
      <c r="GF66">
        <v>2009557470</v>
      </c>
      <c r="GG66">
        <v>2</v>
      </c>
      <c r="GH66">
        <v>1</v>
      </c>
      <c r="GI66">
        <v>-2</v>
      </c>
      <c r="GJ66">
        <v>0</v>
      </c>
      <c r="GK66">
        <v>0</v>
      </c>
      <c r="GL66">
        <f t="shared" si="44"/>
        <v>0</v>
      </c>
      <c r="GM66">
        <f t="shared" si="45"/>
        <v>6473.21</v>
      </c>
      <c r="GN66">
        <f t="shared" si="46"/>
        <v>6473.21</v>
      </c>
      <c r="GO66">
        <f t="shared" si="47"/>
        <v>0</v>
      </c>
      <c r="GP66">
        <f t="shared" si="48"/>
        <v>0</v>
      </c>
      <c r="GR66">
        <v>0</v>
      </c>
      <c r="GS66">
        <v>0</v>
      </c>
      <c r="GT66">
        <v>0</v>
      </c>
      <c r="GU66" t="s">
        <v>3</v>
      </c>
      <c r="GV66">
        <f t="shared" si="49"/>
        <v>0</v>
      </c>
      <c r="GW66">
        <v>1</v>
      </c>
      <c r="GX66">
        <f t="shared" si="50"/>
        <v>0</v>
      </c>
      <c r="HA66">
        <v>0</v>
      </c>
      <c r="HB66">
        <v>0</v>
      </c>
      <c r="HC66">
        <f t="shared" si="51"/>
        <v>0</v>
      </c>
      <c r="HE66" t="s">
        <v>3</v>
      </c>
      <c r="HF66" t="s">
        <v>3</v>
      </c>
      <c r="HM66" t="s">
        <v>3</v>
      </c>
      <c r="HN66" t="s">
        <v>124</v>
      </c>
      <c r="HO66" t="s">
        <v>125</v>
      </c>
      <c r="HP66" t="s">
        <v>121</v>
      </c>
      <c r="HQ66" t="s">
        <v>121</v>
      </c>
      <c r="IK66">
        <v>0</v>
      </c>
    </row>
    <row r="67" spans="1:245" x14ac:dyDescent="0.2">
      <c r="A67">
        <v>17</v>
      </c>
      <c r="B67">
        <v>1</v>
      </c>
      <c r="C67">
        <f>ROW(SmtRes!A47)</f>
        <v>47</v>
      </c>
      <c r="D67">
        <f>ROW(EtalonRes!A46)</f>
        <v>46</v>
      </c>
      <c r="E67" t="s">
        <v>126</v>
      </c>
      <c r="F67" t="s">
        <v>127</v>
      </c>
      <c r="G67" t="s">
        <v>128</v>
      </c>
      <c r="H67" t="s">
        <v>129</v>
      </c>
      <c r="I67">
        <v>1.5</v>
      </c>
      <c r="J67">
        <v>0</v>
      </c>
      <c r="K67">
        <v>1.5</v>
      </c>
      <c r="O67">
        <f t="shared" si="30"/>
        <v>686.06</v>
      </c>
      <c r="P67">
        <f>SUMIF(SmtRes!AQ41:'SmtRes'!AQ47,"=1",SmtRes!DF41:'SmtRes'!DF47)</f>
        <v>11.25</v>
      </c>
      <c r="Q67">
        <f>SUMIF(SmtRes!AQ41:'SmtRes'!AQ47,"=1",SmtRes!DG41:'SmtRes'!DG47)</f>
        <v>140.19</v>
      </c>
      <c r="R67">
        <f>SUMIF(SmtRes!AQ41:'SmtRes'!AQ47,"=1",SmtRes!DH41:'SmtRes'!DH47)</f>
        <v>59.19</v>
      </c>
      <c r="S67">
        <f>SUMIF(SmtRes!AQ41:'SmtRes'!AQ47,"=1",SmtRes!DI41:'SmtRes'!DI47)</f>
        <v>475.43</v>
      </c>
      <c r="T67">
        <f t="shared" si="31"/>
        <v>0</v>
      </c>
      <c r="U67">
        <f>SUMIF(SmtRes!AQ41:'SmtRes'!AQ47,"=1",SmtRes!CV41:'SmtRes'!CV47)</f>
        <v>1.17</v>
      </c>
      <c r="V67">
        <f>SUMIF(SmtRes!AQ41:'SmtRes'!AQ47,"=1",SmtRes!CW41:'SmtRes'!CW47)</f>
        <v>0.105</v>
      </c>
      <c r="W67">
        <f t="shared" si="32"/>
        <v>0</v>
      </c>
      <c r="X67">
        <f t="shared" si="33"/>
        <v>588.08000000000004</v>
      </c>
      <c r="Y67">
        <f t="shared" si="34"/>
        <v>368.89</v>
      </c>
      <c r="AA67">
        <v>65170852</v>
      </c>
      <c r="AB67">
        <f t="shared" si="35"/>
        <v>415.77199999999999</v>
      </c>
      <c r="AC67">
        <f>ROUND((SUM(SmtRes!BQ41:'SmtRes'!BQ47)),6)</f>
        <v>5.3564999999999996</v>
      </c>
      <c r="AD67">
        <f>ROUND((((SUM(SmtRes!BR41:'SmtRes'!BR47))-(SUM(SmtRes!BS41:'SmtRes'!BS47)))+AE67),6)</f>
        <v>93.462500000000006</v>
      </c>
      <c r="AE67">
        <f>ROUND((SUM(SmtRes!BS41:'SmtRes'!BS47)),6)</f>
        <v>39.463200000000001</v>
      </c>
      <c r="AF67">
        <f>ROUND((SUM(SmtRes!BT41:'SmtRes'!BT47)),6)</f>
        <v>316.95299999999997</v>
      </c>
      <c r="AG67">
        <f t="shared" si="36"/>
        <v>0</v>
      </c>
      <c r="AH67">
        <f>(SUM(SmtRes!BU41:'SmtRes'!BU47))</f>
        <v>0.78</v>
      </c>
      <c r="AI67">
        <f>(SUM(SmtRes!BV41:'SmtRes'!BV47))</f>
        <v>7.0000000000000007E-2</v>
      </c>
      <c r="AJ67">
        <f t="shared" si="37"/>
        <v>0</v>
      </c>
      <c r="AK67">
        <v>455.23520000000008</v>
      </c>
      <c r="AL67">
        <v>5.3564999999999996</v>
      </c>
      <c r="AM67">
        <v>93.462500000000006</v>
      </c>
      <c r="AN67">
        <v>39.463200000000001</v>
      </c>
      <c r="AO67">
        <v>316.95300000000003</v>
      </c>
      <c r="AP67">
        <v>0</v>
      </c>
      <c r="AQ67">
        <v>0.78</v>
      </c>
      <c r="AR67">
        <v>7.0000000000000007E-2</v>
      </c>
      <c r="AS67">
        <v>0</v>
      </c>
      <c r="AT67">
        <v>110</v>
      </c>
      <c r="AU67">
        <v>69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1</v>
      </c>
      <c r="BJ67" t="s">
        <v>130</v>
      </c>
      <c r="BM67">
        <v>8001</v>
      </c>
      <c r="BN67">
        <v>0</v>
      </c>
      <c r="BO67" t="s">
        <v>3</v>
      </c>
      <c r="BP67">
        <v>0</v>
      </c>
      <c r="BQ67">
        <v>2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110</v>
      </c>
      <c r="CA67">
        <v>69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38"/>
        <v>686.06</v>
      </c>
      <c r="CQ67">
        <f>SUMIF(SmtRes!AQ41:'SmtRes'!AQ47,"=1",SmtRes!AA41:'SmtRes'!AA47)</f>
        <v>49.99</v>
      </c>
      <c r="CR67">
        <f>SUMIF(SmtRes!AQ41:'SmtRes'!AQ47,"=1",SmtRes!AB41:'SmtRes'!AB47)</f>
        <v>1263.8800000000001</v>
      </c>
      <c r="CS67">
        <f>SUMIF(SmtRes!AQ41:'SmtRes'!AQ47,"=1",SmtRes!AC41:'SmtRes'!AC47)</f>
        <v>563.76</v>
      </c>
      <c r="CT67">
        <f>SUMIF(SmtRes!AQ41:'SmtRes'!AQ47,"=1",SmtRes!AD41:'SmtRes'!AD47)</f>
        <v>406.35</v>
      </c>
      <c r="CU67">
        <f t="shared" si="39"/>
        <v>0</v>
      </c>
      <c r="CV67">
        <f>SUMIF(SmtRes!AQ41:'SmtRes'!AQ47,"=1",SmtRes!BU41:'SmtRes'!BU47)</f>
        <v>0.78</v>
      </c>
      <c r="CW67">
        <f>SUMIF(SmtRes!AQ41:'SmtRes'!AQ47,"=1",SmtRes!BV41:'SmtRes'!BV47)</f>
        <v>7.0000000000000007E-2</v>
      </c>
      <c r="CX67">
        <f t="shared" si="40"/>
        <v>0</v>
      </c>
      <c r="CY67">
        <f t="shared" si="41"/>
        <v>588.08199999999999</v>
      </c>
      <c r="CZ67">
        <f t="shared" si="42"/>
        <v>368.88779999999997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1007</v>
      </c>
      <c r="DV67" t="s">
        <v>129</v>
      </c>
      <c r="DW67" t="s">
        <v>129</v>
      </c>
      <c r="DX67">
        <v>1</v>
      </c>
      <c r="DZ67" t="s">
        <v>3</v>
      </c>
      <c r="EA67" t="s">
        <v>3</v>
      </c>
      <c r="EB67" t="s">
        <v>3</v>
      </c>
      <c r="EC67" t="s">
        <v>3</v>
      </c>
      <c r="EE67">
        <v>64851000</v>
      </c>
      <c r="EF67">
        <v>2</v>
      </c>
      <c r="EG67" t="s">
        <v>80</v>
      </c>
      <c r="EH67">
        <v>8</v>
      </c>
      <c r="EI67" t="s">
        <v>131</v>
      </c>
      <c r="EJ67">
        <v>1</v>
      </c>
      <c r="EK67">
        <v>8001</v>
      </c>
      <c r="EL67" t="s">
        <v>131</v>
      </c>
      <c r="EM67" t="s">
        <v>132</v>
      </c>
      <c r="EO67" t="s">
        <v>3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0.78</v>
      </c>
      <c r="EX67">
        <v>7.0000000000000007E-2</v>
      </c>
      <c r="EY67">
        <v>0</v>
      </c>
      <c r="FQ67">
        <v>0</v>
      </c>
      <c r="FR67">
        <f t="shared" si="43"/>
        <v>0</v>
      </c>
      <c r="FS67">
        <v>0</v>
      </c>
      <c r="FX67">
        <v>110</v>
      </c>
      <c r="FY67">
        <v>69</v>
      </c>
      <c r="GA67" t="s">
        <v>3</v>
      </c>
      <c r="GD67">
        <v>1</v>
      </c>
      <c r="GF67">
        <v>1011671397</v>
      </c>
      <c r="GG67">
        <v>2</v>
      </c>
      <c r="GH67">
        <v>1</v>
      </c>
      <c r="GI67">
        <v>-2</v>
      </c>
      <c r="GJ67">
        <v>0</v>
      </c>
      <c r="GK67">
        <v>0</v>
      </c>
      <c r="GL67">
        <f t="shared" si="44"/>
        <v>0</v>
      </c>
      <c r="GM67">
        <f t="shared" si="45"/>
        <v>1643.03</v>
      </c>
      <c r="GN67">
        <f t="shared" si="46"/>
        <v>1643.03</v>
      </c>
      <c r="GO67">
        <f t="shared" si="47"/>
        <v>0</v>
      </c>
      <c r="GP67">
        <f t="shared" si="48"/>
        <v>0</v>
      </c>
      <c r="GR67">
        <v>0</v>
      </c>
      <c r="GS67">
        <v>0</v>
      </c>
      <c r="GT67">
        <v>0</v>
      </c>
      <c r="GU67" t="s">
        <v>3</v>
      </c>
      <c r="GV67">
        <f t="shared" si="49"/>
        <v>0</v>
      </c>
      <c r="GW67">
        <v>1</v>
      </c>
      <c r="GX67">
        <f t="shared" si="50"/>
        <v>0</v>
      </c>
      <c r="HA67">
        <v>0</v>
      </c>
      <c r="HB67">
        <v>0</v>
      </c>
      <c r="HC67">
        <f t="shared" si="51"/>
        <v>0</v>
      </c>
      <c r="HE67" t="s">
        <v>3</v>
      </c>
      <c r="HF67" t="s">
        <v>3</v>
      </c>
      <c r="HM67" t="s">
        <v>3</v>
      </c>
      <c r="HN67" t="s">
        <v>133</v>
      </c>
      <c r="HO67" t="s">
        <v>134</v>
      </c>
      <c r="HP67" t="s">
        <v>131</v>
      </c>
      <c r="HQ67" t="s">
        <v>131</v>
      </c>
      <c r="IK67">
        <v>0</v>
      </c>
    </row>
    <row r="68" spans="1:245" x14ac:dyDescent="0.2">
      <c r="A68">
        <v>18</v>
      </c>
      <c r="B68">
        <v>1</v>
      </c>
      <c r="C68">
        <v>47</v>
      </c>
      <c r="E68" t="s">
        <v>135</v>
      </c>
      <c r="F68" t="s">
        <v>136</v>
      </c>
      <c r="G68" t="s">
        <v>137</v>
      </c>
      <c r="H68" t="s">
        <v>129</v>
      </c>
      <c r="I68">
        <f>I67*J68</f>
        <v>1.6502605999999997</v>
      </c>
      <c r="J68">
        <v>1.1001737333333332</v>
      </c>
      <c r="K68">
        <v>1.1001737</v>
      </c>
      <c r="O68">
        <f t="shared" si="30"/>
        <v>1800.17</v>
      </c>
      <c r="P68">
        <f>ROUND(CQ68*I68,2)</f>
        <v>1800.17</v>
      </c>
      <c r="Q68">
        <f>ROUND(CR68*I68,2)</f>
        <v>0</v>
      </c>
      <c r="R68">
        <f>ROUND(CS68*I68,2)</f>
        <v>0</v>
      </c>
      <c r="S68">
        <f>ROUND(CT68*I68,2)</f>
        <v>0</v>
      </c>
      <c r="T68">
        <f t="shared" si="31"/>
        <v>0</v>
      </c>
      <c r="U68">
        <f>ROUND(CV68*I68,7)</f>
        <v>0</v>
      </c>
      <c r="V68">
        <f>ROUND(CW68*I68,7)</f>
        <v>0</v>
      </c>
      <c r="W68">
        <f t="shared" si="32"/>
        <v>0</v>
      </c>
      <c r="X68">
        <f t="shared" si="33"/>
        <v>0</v>
      </c>
      <c r="Y68">
        <f t="shared" si="34"/>
        <v>0</v>
      </c>
      <c r="AA68">
        <v>65170852</v>
      </c>
      <c r="AB68">
        <f t="shared" si="35"/>
        <v>565.20000000000005</v>
      </c>
      <c r="AC68">
        <f>ROUND((ES68),6)</f>
        <v>565.20000000000005</v>
      </c>
      <c r="AD68">
        <f>ROUND((((ET68)-(EU68))+AE68),6)</f>
        <v>0</v>
      </c>
      <c r="AE68">
        <f>ROUND((EU68),6)</f>
        <v>0</v>
      </c>
      <c r="AF68">
        <f>ROUND((EV68),6)</f>
        <v>0</v>
      </c>
      <c r="AG68">
        <f t="shared" si="36"/>
        <v>0</v>
      </c>
      <c r="AH68">
        <f>(EW68)</f>
        <v>0</v>
      </c>
      <c r="AI68">
        <f>(EX68)</f>
        <v>0</v>
      </c>
      <c r="AJ68">
        <f t="shared" si="37"/>
        <v>0</v>
      </c>
      <c r="AK68">
        <v>565.20000000000005</v>
      </c>
      <c r="AL68">
        <v>565.20000000000005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110</v>
      </c>
      <c r="AU68">
        <v>69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1.93</v>
      </c>
      <c r="BD68" t="s">
        <v>3</v>
      </c>
      <c r="BE68" t="s">
        <v>3</v>
      </c>
      <c r="BF68" t="s">
        <v>3</v>
      </c>
      <c r="BG68" t="s">
        <v>3</v>
      </c>
      <c r="BH68">
        <v>3</v>
      </c>
      <c r="BI68">
        <v>1</v>
      </c>
      <c r="BJ68" t="s">
        <v>138</v>
      </c>
      <c r="BM68">
        <v>8001</v>
      </c>
      <c r="BN68">
        <v>0</v>
      </c>
      <c r="BO68" t="s">
        <v>136</v>
      </c>
      <c r="BP68">
        <v>1</v>
      </c>
      <c r="BQ68">
        <v>2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110</v>
      </c>
      <c r="CA68">
        <v>69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 t="shared" si="38"/>
        <v>1800.17</v>
      </c>
      <c r="CQ68">
        <f>ROUND(AL68*BC68,2)</f>
        <v>1090.8399999999999</v>
      </c>
      <c r="CR68">
        <f>ROUND(AM68*BB68,2)</f>
        <v>0</v>
      </c>
      <c r="CS68">
        <f>ROUND(AN68*BS68,2)</f>
        <v>0</v>
      </c>
      <c r="CT68">
        <f>ROUND(AO68*BA68,2)</f>
        <v>0</v>
      </c>
      <c r="CU68">
        <f t="shared" si="39"/>
        <v>0</v>
      </c>
      <c r="CV68">
        <f>AH68</f>
        <v>0</v>
      </c>
      <c r="CW68">
        <f>AI68</f>
        <v>0</v>
      </c>
      <c r="CX68">
        <f t="shared" si="40"/>
        <v>0</v>
      </c>
      <c r="CY68">
        <f t="shared" si="41"/>
        <v>0</v>
      </c>
      <c r="CZ68">
        <f t="shared" si="42"/>
        <v>0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1007</v>
      </c>
      <c r="DV68" t="s">
        <v>129</v>
      </c>
      <c r="DW68" t="s">
        <v>129</v>
      </c>
      <c r="DX68">
        <v>1</v>
      </c>
      <c r="DZ68" t="s">
        <v>3</v>
      </c>
      <c r="EA68" t="s">
        <v>3</v>
      </c>
      <c r="EB68" t="s">
        <v>3</v>
      </c>
      <c r="EC68" t="s">
        <v>3</v>
      </c>
      <c r="EE68">
        <v>64851000</v>
      </c>
      <c r="EF68">
        <v>2</v>
      </c>
      <c r="EG68" t="s">
        <v>80</v>
      </c>
      <c r="EH68">
        <v>8</v>
      </c>
      <c r="EI68" t="s">
        <v>131</v>
      </c>
      <c r="EJ68">
        <v>1</v>
      </c>
      <c r="EK68">
        <v>8001</v>
      </c>
      <c r="EL68" t="s">
        <v>131</v>
      </c>
      <c r="EM68" t="s">
        <v>132</v>
      </c>
      <c r="EO68" t="s">
        <v>3</v>
      </c>
      <c r="EQ68">
        <v>0</v>
      </c>
      <c r="ER68">
        <v>565.20000000000005</v>
      </c>
      <c r="ES68">
        <v>565.20000000000005</v>
      </c>
      <c r="ET68">
        <v>0</v>
      </c>
      <c r="EU68">
        <v>0</v>
      </c>
      <c r="EV68">
        <v>0</v>
      </c>
      <c r="EW68">
        <v>0</v>
      </c>
      <c r="EX68">
        <v>0</v>
      </c>
      <c r="FQ68">
        <v>0</v>
      </c>
      <c r="FR68">
        <f t="shared" si="43"/>
        <v>0</v>
      </c>
      <c r="FS68">
        <v>0</v>
      </c>
      <c r="FX68">
        <v>110</v>
      </c>
      <c r="FY68">
        <v>69</v>
      </c>
      <c r="GA68" t="s">
        <v>3</v>
      </c>
      <c r="GD68">
        <v>1</v>
      </c>
      <c r="GF68">
        <v>-393681643</v>
      </c>
      <c r="GG68">
        <v>2</v>
      </c>
      <c r="GH68">
        <v>1</v>
      </c>
      <c r="GI68">
        <v>2</v>
      </c>
      <c r="GJ68">
        <v>0</v>
      </c>
      <c r="GK68">
        <v>0</v>
      </c>
      <c r="GL68">
        <f t="shared" si="44"/>
        <v>0</v>
      </c>
      <c r="GM68">
        <f t="shared" si="45"/>
        <v>1800.17</v>
      </c>
      <c r="GN68">
        <f t="shared" si="46"/>
        <v>1800.17</v>
      </c>
      <c r="GO68">
        <f t="shared" si="47"/>
        <v>0</v>
      </c>
      <c r="GP68">
        <f t="shared" si="48"/>
        <v>0</v>
      </c>
      <c r="GR68">
        <v>0</v>
      </c>
      <c r="GS68">
        <v>0</v>
      </c>
      <c r="GT68">
        <v>0</v>
      </c>
      <c r="GU68" t="s">
        <v>3</v>
      </c>
      <c r="GV68">
        <f t="shared" si="49"/>
        <v>0</v>
      </c>
      <c r="GW68">
        <v>1</v>
      </c>
      <c r="GX68">
        <f t="shared" si="50"/>
        <v>0</v>
      </c>
      <c r="HA68">
        <v>0</v>
      </c>
      <c r="HB68">
        <v>0</v>
      </c>
      <c r="HC68">
        <f t="shared" si="51"/>
        <v>0</v>
      </c>
      <c r="HE68" t="s">
        <v>3</v>
      </c>
      <c r="HF68" t="s">
        <v>3</v>
      </c>
      <c r="HM68" t="s">
        <v>3</v>
      </c>
      <c r="HN68" t="s">
        <v>133</v>
      </c>
      <c r="HO68" t="s">
        <v>134</v>
      </c>
      <c r="HP68" t="s">
        <v>131</v>
      </c>
      <c r="HQ68" t="s">
        <v>131</v>
      </c>
      <c r="IK68">
        <v>0</v>
      </c>
    </row>
    <row r="69" spans="1:245" x14ac:dyDescent="0.2">
      <c r="A69">
        <v>17</v>
      </c>
      <c r="B69">
        <v>1</v>
      </c>
      <c r="C69">
        <f>ROW(SmtRes!A54)</f>
        <v>54</v>
      </c>
      <c r="D69">
        <f>ROW(EtalonRes!A52)</f>
        <v>52</v>
      </c>
      <c r="E69" t="s">
        <v>139</v>
      </c>
      <c r="F69" t="s">
        <v>140</v>
      </c>
      <c r="G69" t="s">
        <v>141</v>
      </c>
      <c r="H69" t="s">
        <v>129</v>
      </c>
      <c r="I69">
        <v>1.5</v>
      </c>
      <c r="J69">
        <v>0</v>
      </c>
      <c r="K69">
        <v>1.5</v>
      </c>
      <c r="O69">
        <f t="shared" si="30"/>
        <v>729.77</v>
      </c>
      <c r="P69">
        <f>SUMIF(SmtRes!AQ48:'SmtRes'!AQ54,"=1",SmtRes!DF48:'SmtRes'!DF54)</f>
        <v>11.25</v>
      </c>
      <c r="Q69">
        <f>SUMIF(SmtRes!AQ48:'SmtRes'!AQ54,"=1",SmtRes!DG48:'SmtRes'!DG54)</f>
        <v>141.23000000000002</v>
      </c>
      <c r="R69">
        <f>SUMIF(SmtRes!AQ48:'SmtRes'!AQ54,"=1",SmtRes!DH48:'SmtRes'!DH54)</f>
        <v>59.19</v>
      </c>
      <c r="S69">
        <f>SUMIF(SmtRes!AQ48:'SmtRes'!AQ54,"=1",SmtRes!DI48:'SmtRes'!DI54)</f>
        <v>518.1</v>
      </c>
      <c r="T69">
        <f t="shared" si="31"/>
        <v>0</v>
      </c>
      <c r="U69">
        <f>SUMIF(SmtRes!AQ48:'SmtRes'!AQ54,"=1",SmtRes!CV48:'SmtRes'!CV54)</f>
        <v>1.2749999999999999</v>
      </c>
      <c r="V69">
        <f>SUMIF(SmtRes!AQ48:'SmtRes'!AQ54,"=1",SmtRes!CW48:'SmtRes'!CW54)</f>
        <v>0.105</v>
      </c>
      <c r="W69">
        <f t="shared" si="32"/>
        <v>0</v>
      </c>
      <c r="X69">
        <f t="shared" si="33"/>
        <v>635.02</v>
      </c>
      <c r="Y69">
        <f t="shared" si="34"/>
        <v>398.33</v>
      </c>
      <c r="AA69">
        <v>65170852</v>
      </c>
      <c r="AB69">
        <f t="shared" si="35"/>
        <v>444.9049</v>
      </c>
      <c r="AC69">
        <f>ROUND((SUM(SmtRes!BQ48:'SmtRes'!BQ54)),6)</f>
        <v>5.3564999999999996</v>
      </c>
      <c r="AD69">
        <f>ROUND((((SUM(SmtRes!BR48:'SmtRes'!BR54))-(SUM(SmtRes!BS48:'SmtRes'!BS54)))+AE69),6)</f>
        <v>94.150899999999993</v>
      </c>
      <c r="AE69">
        <f>ROUND((SUM(SmtRes!BS48:'SmtRes'!BS54)),6)</f>
        <v>39.463200000000001</v>
      </c>
      <c r="AF69">
        <f>ROUND((SUM(SmtRes!BT48:'SmtRes'!BT54)),6)</f>
        <v>345.39749999999998</v>
      </c>
      <c r="AG69">
        <f t="shared" si="36"/>
        <v>0</v>
      </c>
      <c r="AH69">
        <f>(SUM(SmtRes!BU48:'SmtRes'!BU54))</f>
        <v>0.85</v>
      </c>
      <c r="AI69">
        <f>(SUM(SmtRes!BV48:'SmtRes'!BV54))</f>
        <v>7.0000000000000007E-2</v>
      </c>
      <c r="AJ69">
        <f t="shared" si="37"/>
        <v>0</v>
      </c>
      <c r="AK69">
        <v>484.36810000000003</v>
      </c>
      <c r="AL69">
        <v>5.3564999999999996</v>
      </c>
      <c r="AM69">
        <v>94.150900000000007</v>
      </c>
      <c r="AN69">
        <v>39.463200000000001</v>
      </c>
      <c r="AO69">
        <v>345.39750000000004</v>
      </c>
      <c r="AP69">
        <v>0</v>
      </c>
      <c r="AQ69">
        <v>0.85</v>
      </c>
      <c r="AR69">
        <v>7.0000000000000007E-2</v>
      </c>
      <c r="AS69">
        <v>0</v>
      </c>
      <c r="AT69">
        <v>110</v>
      </c>
      <c r="AU69">
        <v>69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1</v>
      </c>
      <c r="BJ69" t="s">
        <v>142</v>
      </c>
      <c r="BM69">
        <v>8001</v>
      </c>
      <c r="BN69">
        <v>0</v>
      </c>
      <c r="BO69" t="s">
        <v>3</v>
      </c>
      <c r="BP69">
        <v>0</v>
      </c>
      <c r="BQ69">
        <v>2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110</v>
      </c>
      <c r="CA69">
        <v>69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si="38"/>
        <v>729.77</v>
      </c>
      <c r="CQ69">
        <f>SUMIF(SmtRes!AQ48:'SmtRes'!AQ54,"=1",SmtRes!AA48:'SmtRes'!AA54)</f>
        <v>49.99</v>
      </c>
      <c r="CR69">
        <f>SUMIF(SmtRes!AQ48:'SmtRes'!AQ54,"=1",SmtRes!AB48:'SmtRes'!AB54)</f>
        <v>1263.8800000000001</v>
      </c>
      <c r="CS69">
        <f>SUMIF(SmtRes!AQ48:'SmtRes'!AQ54,"=1",SmtRes!AC48:'SmtRes'!AC54)</f>
        <v>563.76</v>
      </c>
      <c r="CT69">
        <f>SUMIF(SmtRes!AQ48:'SmtRes'!AQ54,"=1",SmtRes!AD48:'SmtRes'!AD54)</f>
        <v>406.35</v>
      </c>
      <c r="CU69">
        <f t="shared" si="39"/>
        <v>0</v>
      </c>
      <c r="CV69">
        <f>SUMIF(SmtRes!AQ48:'SmtRes'!AQ54,"=1",SmtRes!BU48:'SmtRes'!BU54)</f>
        <v>0.85</v>
      </c>
      <c r="CW69">
        <f>SUMIF(SmtRes!AQ48:'SmtRes'!AQ54,"=1",SmtRes!BV48:'SmtRes'!BV54)</f>
        <v>7.0000000000000007E-2</v>
      </c>
      <c r="CX69">
        <f t="shared" si="40"/>
        <v>0</v>
      </c>
      <c r="CY69">
        <f t="shared" si="41"/>
        <v>635.01899999999989</v>
      </c>
      <c r="CZ69">
        <f t="shared" si="42"/>
        <v>398.33009999999996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1007</v>
      </c>
      <c r="DV69" t="s">
        <v>129</v>
      </c>
      <c r="DW69" t="s">
        <v>129</v>
      </c>
      <c r="DX69">
        <v>1</v>
      </c>
      <c r="DZ69" t="s">
        <v>3</v>
      </c>
      <c r="EA69" t="s">
        <v>3</v>
      </c>
      <c r="EB69" t="s">
        <v>3</v>
      </c>
      <c r="EC69" t="s">
        <v>3</v>
      </c>
      <c r="EE69">
        <v>64851000</v>
      </c>
      <c r="EF69">
        <v>2</v>
      </c>
      <c r="EG69" t="s">
        <v>80</v>
      </c>
      <c r="EH69">
        <v>8</v>
      </c>
      <c r="EI69" t="s">
        <v>131</v>
      </c>
      <c r="EJ69">
        <v>1</v>
      </c>
      <c r="EK69">
        <v>8001</v>
      </c>
      <c r="EL69" t="s">
        <v>131</v>
      </c>
      <c r="EM69" t="s">
        <v>132</v>
      </c>
      <c r="EO69" t="s">
        <v>3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0.85</v>
      </c>
      <c r="EX69">
        <v>7.0000000000000007E-2</v>
      </c>
      <c r="EY69">
        <v>0</v>
      </c>
      <c r="FQ69">
        <v>0</v>
      </c>
      <c r="FR69">
        <f t="shared" si="43"/>
        <v>0</v>
      </c>
      <c r="FS69">
        <v>0</v>
      </c>
      <c r="FX69">
        <v>110</v>
      </c>
      <c r="FY69">
        <v>69</v>
      </c>
      <c r="GA69" t="s">
        <v>3</v>
      </c>
      <c r="GD69">
        <v>1</v>
      </c>
      <c r="GF69">
        <v>557504040</v>
      </c>
      <c r="GG69">
        <v>2</v>
      </c>
      <c r="GH69">
        <v>1</v>
      </c>
      <c r="GI69">
        <v>-2</v>
      </c>
      <c r="GJ69">
        <v>0</v>
      </c>
      <c r="GK69">
        <v>0</v>
      </c>
      <c r="GL69">
        <f t="shared" si="44"/>
        <v>0</v>
      </c>
      <c r="GM69">
        <f t="shared" si="45"/>
        <v>1763.12</v>
      </c>
      <c r="GN69">
        <f t="shared" si="46"/>
        <v>1763.12</v>
      </c>
      <c r="GO69">
        <f t="shared" si="47"/>
        <v>0</v>
      </c>
      <c r="GP69">
        <f t="shared" si="48"/>
        <v>0</v>
      </c>
      <c r="GR69">
        <v>0</v>
      </c>
      <c r="GS69">
        <v>0</v>
      </c>
      <c r="GT69">
        <v>0</v>
      </c>
      <c r="GU69" t="s">
        <v>3</v>
      </c>
      <c r="GV69">
        <f t="shared" si="49"/>
        <v>0</v>
      </c>
      <c r="GW69">
        <v>1</v>
      </c>
      <c r="GX69">
        <f t="shared" si="50"/>
        <v>0</v>
      </c>
      <c r="HA69">
        <v>0</v>
      </c>
      <c r="HB69">
        <v>0</v>
      </c>
      <c r="HC69">
        <f t="shared" si="51"/>
        <v>0</v>
      </c>
      <c r="HE69" t="s">
        <v>3</v>
      </c>
      <c r="HF69" t="s">
        <v>3</v>
      </c>
      <c r="HM69" t="s">
        <v>3</v>
      </c>
      <c r="HN69" t="s">
        <v>133</v>
      </c>
      <c r="HO69" t="s">
        <v>134</v>
      </c>
      <c r="HP69" t="s">
        <v>131</v>
      </c>
      <c r="HQ69" t="s">
        <v>131</v>
      </c>
      <c r="IK69">
        <v>0</v>
      </c>
    </row>
    <row r="70" spans="1:245" x14ac:dyDescent="0.2">
      <c r="A70">
        <v>18</v>
      </c>
      <c r="B70">
        <v>1</v>
      </c>
      <c r="C70">
        <v>54</v>
      </c>
      <c r="E70" t="s">
        <v>143</v>
      </c>
      <c r="F70" t="s">
        <v>144</v>
      </c>
      <c r="G70" t="s">
        <v>145</v>
      </c>
      <c r="H70" t="s">
        <v>129</v>
      </c>
      <c r="I70">
        <f>I69*J70</f>
        <v>1.7272727999999999</v>
      </c>
      <c r="J70">
        <v>1.1515152</v>
      </c>
      <c r="K70">
        <v>1.1515152</v>
      </c>
      <c r="O70">
        <f t="shared" si="30"/>
        <v>5244.64</v>
      </c>
      <c r="P70">
        <f>ROUND(CQ70*I70,2)</f>
        <v>5244.64</v>
      </c>
      <c r="Q70">
        <f>ROUND(CR70*I70,2)</f>
        <v>0</v>
      </c>
      <c r="R70">
        <f>ROUND(CS70*I70,2)</f>
        <v>0</v>
      </c>
      <c r="S70">
        <f>ROUND(CT70*I70,2)</f>
        <v>0</v>
      </c>
      <c r="T70">
        <f t="shared" si="31"/>
        <v>0</v>
      </c>
      <c r="U70">
        <f>ROUND(CV70*I70,7)</f>
        <v>0</v>
      </c>
      <c r="V70">
        <f>ROUND(CW70*I70,7)</f>
        <v>0</v>
      </c>
      <c r="W70">
        <f t="shared" si="32"/>
        <v>0</v>
      </c>
      <c r="X70">
        <f t="shared" si="33"/>
        <v>0</v>
      </c>
      <c r="Y70">
        <f t="shared" si="34"/>
        <v>0</v>
      </c>
      <c r="AA70">
        <v>65170852</v>
      </c>
      <c r="AB70">
        <f t="shared" si="35"/>
        <v>2184.44</v>
      </c>
      <c r="AC70">
        <f>ROUND((ES70),6)</f>
        <v>2184.44</v>
      </c>
      <c r="AD70">
        <f>ROUND((((ET70)-(EU70))+AE70),6)</f>
        <v>0</v>
      </c>
      <c r="AE70">
        <f>ROUND((EU70),6)</f>
        <v>0</v>
      </c>
      <c r="AF70">
        <f>ROUND((EV70),6)</f>
        <v>0</v>
      </c>
      <c r="AG70">
        <f t="shared" si="36"/>
        <v>0</v>
      </c>
      <c r="AH70">
        <f>(EW70)</f>
        <v>0</v>
      </c>
      <c r="AI70">
        <f>(EX70)</f>
        <v>0</v>
      </c>
      <c r="AJ70">
        <f t="shared" si="37"/>
        <v>0</v>
      </c>
      <c r="AK70">
        <v>2184.44</v>
      </c>
      <c r="AL70">
        <v>2184.44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110</v>
      </c>
      <c r="AU70">
        <v>69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1.39</v>
      </c>
      <c r="BD70" t="s">
        <v>3</v>
      </c>
      <c r="BE70" t="s">
        <v>3</v>
      </c>
      <c r="BF70" t="s">
        <v>3</v>
      </c>
      <c r="BG70" t="s">
        <v>3</v>
      </c>
      <c r="BH70">
        <v>3</v>
      </c>
      <c r="BI70">
        <v>1</v>
      </c>
      <c r="BJ70" t="s">
        <v>146</v>
      </c>
      <c r="BM70">
        <v>8001</v>
      </c>
      <c r="BN70">
        <v>0</v>
      </c>
      <c r="BO70" t="s">
        <v>144</v>
      </c>
      <c r="BP70">
        <v>1</v>
      </c>
      <c r="BQ70">
        <v>2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110</v>
      </c>
      <c r="CA70">
        <v>69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38"/>
        <v>5244.64</v>
      </c>
      <c r="CQ70">
        <f>ROUND(AL70*BC70,2)</f>
        <v>3036.37</v>
      </c>
      <c r="CR70">
        <f>ROUND(AM70*BB70,2)</f>
        <v>0</v>
      </c>
      <c r="CS70">
        <f>ROUND(AN70*BS70,2)</f>
        <v>0</v>
      </c>
      <c r="CT70">
        <f>ROUND(AO70*BA70,2)</f>
        <v>0</v>
      </c>
      <c r="CU70">
        <f t="shared" si="39"/>
        <v>0</v>
      </c>
      <c r="CV70">
        <f>AH70</f>
        <v>0</v>
      </c>
      <c r="CW70">
        <f>AI70</f>
        <v>0</v>
      </c>
      <c r="CX70">
        <f t="shared" si="40"/>
        <v>0</v>
      </c>
      <c r="CY70">
        <f t="shared" si="41"/>
        <v>0</v>
      </c>
      <c r="CZ70">
        <f t="shared" si="42"/>
        <v>0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1007</v>
      </c>
      <c r="DV70" t="s">
        <v>129</v>
      </c>
      <c r="DW70" t="s">
        <v>129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64851000</v>
      </c>
      <c r="EF70">
        <v>2</v>
      </c>
      <c r="EG70" t="s">
        <v>80</v>
      </c>
      <c r="EH70">
        <v>8</v>
      </c>
      <c r="EI70" t="s">
        <v>131</v>
      </c>
      <c r="EJ70">
        <v>1</v>
      </c>
      <c r="EK70">
        <v>8001</v>
      </c>
      <c r="EL70" t="s">
        <v>131</v>
      </c>
      <c r="EM70" t="s">
        <v>132</v>
      </c>
      <c r="EO70" t="s">
        <v>3</v>
      </c>
      <c r="EQ70">
        <v>0</v>
      </c>
      <c r="ER70">
        <v>2184.44</v>
      </c>
      <c r="ES70">
        <v>2184.44</v>
      </c>
      <c r="ET70">
        <v>0</v>
      </c>
      <c r="EU70">
        <v>0</v>
      </c>
      <c r="EV70">
        <v>0</v>
      </c>
      <c r="EW70">
        <v>0</v>
      </c>
      <c r="EX70">
        <v>0</v>
      </c>
      <c r="FQ70">
        <v>0</v>
      </c>
      <c r="FR70">
        <f t="shared" si="43"/>
        <v>0</v>
      </c>
      <c r="FS70">
        <v>0</v>
      </c>
      <c r="FX70">
        <v>110</v>
      </c>
      <c r="FY70">
        <v>69</v>
      </c>
      <c r="GA70" t="s">
        <v>3</v>
      </c>
      <c r="GD70">
        <v>1</v>
      </c>
      <c r="GF70">
        <v>1662864284</v>
      </c>
      <c r="GG70">
        <v>2</v>
      </c>
      <c r="GH70">
        <v>1</v>
      </c>
      <c r="GI70">
        <v>2</v>
      </c>
      <c r="GJ70">
        <v>0</v>
      </c>
      <c r="GK70">
        <v>0</v>
      </c>
      <c r="GL70">
        <f t="shared" si="44"/>
        <v>0</v>
      </c>
      <c r="GM70">
        <f t="shared" si="45"/>
        <v>5244.64</v>
      </c>
      <c r="GN70">
        <f t="shared" si="46"/>
        <v>5244.64</v>
      </c>
      <c r="GO70">
        <f t="shared" si="47"/>
        <v>0</v>
      </c>
      <c r="GP70">
        <f t="shared" si="48"/>
        <v>0</v>
      </c>
      <c r="GR70">
        <v>0</v>
      </c>
      <c r="GS70">
        <v>0</v>
      </c>
      <c r="GT70">
        <v>0</v>
      </c>
      <c r="GU70" t="s">
        <v>3</v>
      </c>
      <c r="GV70">
        <f t="shared" si="49"/>
        <v>0</v>
      </c>
      <c r="GW70">
        <v>1</v>
      </c>
      <c r="GX70">
        <f t="shared" si="50"/>
        <v>0</v>
      </c>
      <c r="HA70">
        <v>0</v>
      </c>
      <c r="HB70">
        <v>0</v>
      </c>
      <c r="HC70">
        <f t="shared" si="51"/>
        <v>0</v>
      </c>
      <c r="HE70" t="s">
        <v>3</v>
      </c>
      <c r="HF70" t="s">
        <v>3</v>
      </c>
      <c r="HM70" t="s">
        <v>3</v>
      </c>
      <c r="HN70" t="s">
        <v>133</v>
      </c>
      <c r="HO70" t="s">
        <v>134</v>
      </c>
      <c r="HP70" t="s">
        <v>131</v>
      </c>
      <c r="HQ70" t="s">
        <v>131</v>
      </c>
      <c r="IK70">
        <v>0</v>
      </c>
    </row>
    <row r="71" spans="1:245" x14ac:dyDescent="0.2">
      <c r="A71">
        <v>17</v>
      </c>
      <c r="B71">
        <v>1</v>
      </c>
      <c r="C71">
        <f>ROW(SmtRes!A63)</f>
        <v>63</v>
      </c>
      <c r="D71">
        <f>ROW(EtalonRes!A60)</f>
        <v>60</v>
      </c>
      <c r="E71" t="s">
        <v>147</v>
      </c>
      <c r="F71" t="s">
        <v>74</v>
      </c>
      <c r="G71" t="s">
        <v>148</v>
      </c>
      <c r="H71" t="s">
        <v>76</v>
      </c>
      <c r="I71">
        <f>ROUND(1/100,7)</f>
        <v>0.01</v>
      </c>
      <c r="J71">
        <v>0</v>
      </c>
      <c r="K71">
        <f>ROUND(1/100,7)</f>
        <v>0.01</v>
      </c>
      <c r="O71">
        <f t="shared" si="30"/>
        <v>1025.67</v>
      </c>
      <c r="P71">
        <f>SUMIF(SmtRes!AQ55:'SmtRes'!AQ63,"=1",SmtRes!DF55:'SmtRes'!DF63)</f>
        <v>74.819999999999993</v>
      </c>
      <c r="Q71">
        <f>SUMIF(SmtRes!AQ55:'SmtRes'!AQ63,"=1",SmtRes!DG55:'SmtRes'!DG63)</f>
        <v>483.06</v>
      </c>
      <c r="R71">
        <f>SUMIF(SmtRes!AQ55:'SmtRes'!AQ63,"=1",SmtRes!DH55:'SmtRes'!DH63)</f>
        <v>169.45000000000002</v>
      </c>
      <c r="S71">
        <f>SUMIF(SmtRes!AQ55:'SmtRes'!AQ63,"=1",SmtRes!DI55:'SmtRes'!DI63)</f>
        <v>298.33999999999997</v>
      </c>
      <c r="T71">
        <f t="shared" si="31"/>
        <v>0</v>
      </c>
      <c r="U71">
        <f>SUMIF(SmtRes!AQ55:'SmtRes'!AQ63,"=1",SmtRes!CV55:'SmtRes'!CV63)</f>
        <v>0.66800000000000004</v>
      </c>
      <c r="V71">
        <f>SUMIF(SmtRes!AQ55:'SmtRes'!AQ63,"=1",SmtRes!CW55:'SmtRes'!CW63)</f>
        <v>0.27060000000000001</v>
      </c>
      <c r="W71">
        <f t="shared" si="32"/>
        <v>0</v>
      </c>
      <c r="X71">
        <f t="shared" si="33"/>
        <v>542.64</v>
      </c>
      <c r="Y71">
        <f t="shared" si="34"/>
        <v>374.23</v>
      </c>
      <c r="AA71">
        <v>65170852</v>
      </c>
      <c r="AB71">
        <f t="shared" si="35"/>
        <v>75167.142200000002</v>
      </c>
      <c r="AC71">
        <f>ROUND((SUM(SmtRes!BQ55:'SmtRes'!BQ63)),6)</f>
        <v>6234.723</v>
      </c>
      <c r="AD71">
        <f>ROUND((((SUM(SmtRes!BR55:'SmtRes'!BR63))-(SUM(SmtRes!BS55:'SmtRes'!BS63)))+AE71),6)</f>
        <v>39098.203200000004</v>
      </c>
      <c r="AE71">
        <f>ROUND((SUM(SmtRes!BS55:'SmtRes'!BS63)),6)</f>
        <v>16945.185000000001</v>
      </c>
      <c r="AF71">
        <f>ROUND((SUM(SmtRes!BT55:'SmtRes'!BT63)),6)</f>
        <v>29834.216</v>
      </c>
      <c r="AG71">
        <f t="shared" si="36"/>
        <v>0</v>
      </c>
      <c r="AH71">
        <f>(SUM(SmtRes!BU55:'SmtRes'!BU63))</f>
        <v>66.8</v>
      </c>
      <c r="AI71">
        <f>(SUM(SmtRes!BV55:'SmtRes'!BV63))</f>
        <v>27.060000000000002</v>
      </c>
      <c r="AJ71">
        <f t="shared" si="37"/>
        <v>0</v>
      </c>
      <c r="AK71">
        <v>92112.3272</v>
      </c>
      <c r="AL71">
        <v>6234.722999999999</v>
      </c>
      <c r="AM71">
        <v>39098.203199999996</v>
      </c>
      <c r="AN71">
        <v>16945.185000000001</v>
      </c>
      <c r="AO71">
        <v>29834.216</v>
      </c>
      <c r="AP71">
        <v>0</v>
      </c>
      <c r="AQ71">
        <v>66.8</v>
      </c>
      <c r="AR71">
        <v>27.060000000000002</v>
      </c>
      <c r="AS71">
        <v>0</v>
      </c>
      <c r="AT71">
        <v>116</v>
      </c>
      <c r="AU71">
        <v>80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1</v>
      </c>
      <c r="BJ71" t="s">
        <v>77</v>
      </c>
      <c r="BM71">
        <v>7005</v>
      </c>
      <c r="BN71">
        <v>0</v>
      </c>
      <c r="BO71" t="s">
        <v>3</v>
      </c>
      <c r="BP71">
        <v>0</v>
      </c>
      <c r="BQ71">
        <v>2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116</v>
      </c>
      <c r="CA71">
        <v>80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38"/>
        <v>1025.67</v>
      </c>
      <c r="CQ71">
        <f>SUMIF(SmtRes!AQ55:'SmtRes'!AQ63,"=1",SmtRes!AA55:'SmtRes'!AA63)</f>
        <v>4534.34</v>
      </c>
      <c r="CR71">
        <f>SUMIF(SmtRes!AQ55:'SmtRes'!AQ63,"=1",SmtRes!AB55:'SmtRes'!AB63)</f>
        <v>4309.6899999999996</v>
      </c>
      <c r="CS71">
        <f>SUMIF(SmtRes!AQ55:'SmtRes'!AQ63,"=1",SmtRes!AC55:'SmtRes'!AC63)</f>
        <v>1808.43</v>
      </c>
      <c r="CT71">
        <f>SUMIF(SmtRes!AQ55:'SmtRes'!AQ63,"=1",SmtRes!AD55:'SmtRes'!AD63)</f>
        <v>446.62</v>
      </c>
      <c r="CU71">
        <f t="shared" si="39"/>
        <v>0</v>
      </c>
      <c r="CV71">
        <f>SUMIF(SmtRes!AQ55:'SmtRes'!AQ63,"=1",SmtRes!BU55:'SmtRes'!BU63)</f>
        <v>66.8</v>
      </c>
      <c r="CW71">
        <f>SUMIF(SmtRes!AQ55:'SmtRes'!AQ63,"=1",SmtRes!BV55:'SmtRes'!BV63)</f>
        <v>27.060000000000002</v>
      </c>
      <c r="CX71">
        <f t="shared" si="40"/>
        <v>0</v>
      </c>
      <c r="CY71">
        <f t="shared" si="41"/>
        <v>542.63639999999998</v>
      </c>
      <c r="CZ71">
        <f t="shared" si="42"/>
        <v>374.23199999999997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76</v>
      </c>
      <c r="DW71" t="s">
        <v>76</v>
      </c>
      <c r="DX71">
        <v>1</v>
      </c>
      <c r="DZ71" t="s">
        <v>3</v>
      </c>
      <c r="EA71" t="s">
        <v>3</v>
      </c>
      <c r="EB71" t="s">
        <v>3</v>
      </c>
      <c r="EC71" t="s">
        <v>3</v>
      </c>
      <c r="EE71">
        <v>64850954</v>
      </c>
      <c r="EF71">
        <v>2</v>
      </c>
      <c r="EG71" t="s">
        <v>80</v>
      </c>
      <c r="EH71">
        <v>7</v>
      </c>
      <c r="EI71" t="s">
        <v>81</v>
      </c>
      <c r="EJ71">
        <v>1</v>
      </c>
      <c r="EK71">
        <v>7005</v>
      </c>
      <c r="EL71" t="s">
        <v>82</v>
      </c>
      <c r="EM71" t="s">
        <v>83</v>
      </c>
      <c r="EO71" t="s">
        <v>3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66.8</v>
      </c>
      <c r="EX71">
        <v>27.06</v>
      </c>
      <c r="EY71">
        <v>0</v>
      </c>
      <c r="FQ71">
        <v>0</v>
      </c>
      <c r="FR71">
        <f t="shared" si="43"/>
        <v>0</v>
      </c>
      <c r="FS71">
        <v>0</v>
      </c>
      <c r="FX71">
        <v>116</v>
      </c>
      <c r="FY71">
        <v>80</v>
      </c>
      <c r="GA71" t="s">
        <v>3</v>
      </c>
      <c r="GD71">
        <v>1</v>
      </c>
      <c r="GF71">
        <v>1781584654</v>
      </c>
      <c r="GG71">
        <v>2</v>
      </c>
      <c r="GH71">
        <v>1</v>
      </c>
      <c r="GI71">
        <v>-2</v>
      </c>
      <c r="GJ71">
        <v>0</v>
      </c>
      <c r="GK71">
        <v>0</v>
      </c>
      <c r="GL71">
        <f t="shared" si="44"/>
        <v>0</v>
      </c>
      <c r="GM71">
        <f t="shared" si="45"/>
        <v>1942.54</v>
      </c>
      <c r="GN71">
        <f t="shared" si="46"/>
        <v>1942.54</v>
      </c>
      <c r="GO71">
        <f t="shared" si="47"/>
        <v>0</v>
      </c>
      <c r="GP71">
        <f t="shared" si="48"/>
        <v>0</v>
      </c>
      <c r="GR71">
        <v>0</v>
      </c>
      <c r="GS71">
        <v>0</v>
      </c>
      <c r="GT71">
        <v>0</v>
      </c>
      <c r="GU71" t="s">
        <v>3</v>
      </c>
      <c r="GV71">
        <f t="shared" si="49"/>
        <v>0</v>
      </c>
      <c r="GW71">
        <v>1</v>
      </c>
      <c r="GX71">
        <f t="shared" si="50"/>
        <v>0</v>
      </c>
      <c r="HA71">
        <v>0</v>
      </c>
      <c r="HB71">
        <v>0</v>
      </c>
      <c r="HC71">
        <f t="shared" si="51"/>
        <v>0</v>
      </c>
      <c r="HE71" t="s">
        <v>3</v>
      </c>
      <c r="HF71" t="s">
        <v>3</v>
      </c>
      <c r="HM71" t="s">
        <v>3</v>
      </c>
      <c r="HN71" t="s">
        <v>85</v>
      </c>
      <c r="HO71" t="s">
        <v>86</v>
      </c>
      <c r="HP71" t="s">
        <v>82</v>
      </c>
      <c r="HQ71" t="s">
        <v>82</v>
      </c>
      <c r="IK71">
        <v>0</v>
      </c>
    </row>
    <row r="72" spans="1:245" x14ac:dyDescent="0.2">
      <c r="A72">
        <v>18</v>
      </c>
      <c r="B72">
        <v>1</v>
      </c>
      <c r="C72">
        <v>62</v>
      </c>
      <c r="E72" t="s">
        <v>149</v>
      </c>
      <c r="F72" t="s">
        <v>150</v>
      </c>
      <c r="G72" t="s">
        <v>151</v>
      </c>
      <c r="H72" t="s">
        <v>129</v>
      </c>
      <c r="I72">
        <f>I71*J72</f>
        <v>0.27</v>
      </c>
      <c r="J72">
        <v>27</v>
      </c>
      <c r="K72">
        <v>27</v>
      </c>
      <c r="O72">
        <f t="shared" si="30"/>
        <v>6034.8</v>
      </c>
      <c r="P72">
        <f>ROUND(CQ72*I72,2)</f>
        <v>6034.8</v>
      </c>
      <c r="Q72">
        <f>ROUND(CR72*I72,2)</f>
        <v>0</v>
      </c>
      <c r="R72">
        <f>ROUND(CS72*I72,2)</f>
        <v>0</v>
      </c>
      <c r="S72">
        <f>ROUND(CT72*I72,2)</f>
        <v>0</v>
      </c>
      <c r="T72">
        <f t="shared" si="31"/>
        <v>0</v>
      </c>
      <c r="U72">
        <f>ROUND(CV72*I72,7)</f>
        <v>0</v>
      </c>
      <c r="V72">
        <f>ROUND(CW72*I72,7)</f>
        <v>0</v>
      </c>
      <c r="W72">
        <f t="shared" si="32"/>
        <v>0</v>
      </c>
      <c r="X72">
        <f t="shared" si="33"/>
        <v>0</v>
      </c>
      <c r="Y72">
        <f t="shared" si="34"/>
        <v>0</v>
      </c>
      <c r="AA72">
        <v>65170852</v>
      </c>
      <c r="AB72">
        <f t="shared" si="35"/>
        <v>14327.63</v>
      </c>
      <c r="AC72">
        <f>ROUND((ES72),6)</f>
        <v>14327.63</v>
      </c>
      <c r="AD72">
        <f>ROUND((((ET72)-(EU72))+AE72),6)</f>
        <v>0</v>
      </c>
      <c r="AE72">
        <f>ROUND((EU72),6)</f>
        <v>0</v>
      </c>
      <c r="AF72">
        <f>ROUND((EV72),6)</f>
        <v>0</v>
      </c>
      <c r="AG72">
        <f t="shared" si="36"/>
        <v>0</v>
      </c>
      <c r="AH72">
        <f>(EW72)</f>
        <v>0</v>
      </c>
      <c r="AI72">
        <f>(EX72)</f>
        <v>0</v>
      </c>
      <c r="AJ72">
        <f t="shared" si="37"/>
        <v>0</v>
      </c>
      <c r="AK72">
        <v>14327.63</v>
      </c>
      <c r="AL72">
        <v>14327.63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116</v>
      </c>
      <c r="AU72">
        <v>80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1.56</v>
      </c>
      <c r="BD72" t="s">
        <v>3</v>
      </c>
      <c r="BE72" t="s">
        <v>3</v>
      </c>
      <c r="BF72" t="s">
        <v>3</v>
      </c>
      <c r="BG72" t="s">
        <v>3</v>
      </c>
      <c r="BH72">
        <v>3</v>
      </c>
      <c r="BI72">
        <v>1</v>
      </c>
      <c r="BJ72" t="s">
        <v>152</v>
      </c>
      <c r="BM72">
        <v>7005</v>
      </c>
      <c r="BN72">
        <v>0</v>
      </c>
      <c r="BO72" t="s">
        <v>150</v>
      </c>
      <c r="BP72">
        <v>1</v>
      </c>
      <c r="BQ72">
        <v>2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116</v>
      </c>
      <c r="CA72">
        <v>80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38"/>
        <v>6034.8</v>
      </c>
      <c r="CQ72">
        <f>ROUND(AL72*BC72,2)</f>
        <v>22351.1</v>
      </c>
      <c r="CR72">
        <f>ROUND(AM72*BB72,2)</f>
        <v>0</v>
      </c>
      <c r="CS72">
        <f>ROUND(AN72*BS72,2)</f>
        <v>0</v>
      </c>
      <c r="CT72">
        <f>ROUND(AO72*BA72,2)</f>
        <v>0</v>
      </c>
      <c r="CU72">
        <f t="shared" si="39"/>
        <v>0</v>
      </c>
      <c r="CV72">
        <f>AH72</f>
        <v>0</v>
      </c>
      <c r="CW72">
        <f>AI72</f>
        <v>0</v>
      </c>
      <c r="CX72">
        <f t="shared" si="40"/>
        <v>0</v>
      </c>
      <c r="CY72">
        <f t="shared" si="41"/>
        <v>0</v>
      </c>
      <c r="CZ72">
        <f t="shared" si="42"/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1007</v>
      </c>
      <c r="DV72" t="s">
        <v>129</v>
      </c>
      <c r="DW72" t="s">
        <v>129</v>
      </c>
      <c r="DX72">
        <v>1</v>
      </c>
      <c r="DZ72" t="s">
        <v>3</v>
      </c>
      <c r="EA72" t="s">
        <v>3</v>
      </c>
      <c r="EB72" t="s">
        <v>3</v>
      </c>
      <c r="EC72" t="s">
        <v>3</v>
      </c>
      <c r="EE72">
        <v>64850954</v>
      </c>
      <c r="EF72">
        <v>2</v>
      </c>
      <c r="EG72" t="s">
        <v>80</v>
      </c>
      <c r="EH72">
        <v>7</v>
      </c>
      <c r="EI72" t="s">
        <v>81</v>
      </c>
      <c r="EJ72">
        <v>1</v>
      </c>
      <c r="EK72">
        <v>7005</v>
      </c>
      <c r="EL72" t="s">
        <v>82</v>
      </c>
      <c r="EM72" t="s">
        <v>83</v>
      </c>
      <c r="EO72" t="s">
        <v>3</v>
      </c>
      <c r="EQ72">
        <v>0</v>
      </c>
      <c r="ER72">
        <v>14327.63</v>
      </c>
      <c r="ES72">
        <v>14327.63</v>
      </c>
      <c r="ET72">
        <v>0</v>
      </c>
      <c r="EU72">
        <v>0</v>
      </c>
      <c r="EV72">
        <v>0</v>
      </c>
      <c r="EW72">
        <v>0</v>
      </c>
      <c r="EX72">
        <v>0</v>
      </c>
      <c r="FQ72">
        <v>0</v>
      </c>
      <c r="FR72">
        <f t="shared" si="43"/>
        <v>0</v>
      </c>
      <c r="FS72">
        <v>0</v>
      </c>
      <c r="FX72">
        <v>116</v>
      </c>
      <c r="FY72">
        <v>80</v>
      </c>
      <c r="GA72" t="s">
        <v>3</v>
      </c>
      <c r="GD72">
        <v>1</v>
      </c>
      <c r="GF72">
        <v>-881387468</v>
      </c>
      <c r="GG72">
        <v>2</v>
      </c>
      <c r="GH72">
        <v>1</v>
      </c>
      <c r="GI72">
        <v>2</v>
      </c>
      <c r="GJ72">
        <v>0</v>
      </c>
      <c r="GK72">
        <v>0</v>
      </c>
      <c r="GL72">
        <f t="shared" si="44"/>
        <v>0</v>
      </c>
      <c r="GM72">
        <f t="shared" si="45"/>
        <v>6034.8</v>
      </c>
      <c r="GN72">
        <f t="shared" si="46"/>
        <v>6034.8</v>
      </c>
      <c r="GO72">
        <f t="shared" si="47"/>
        <v>0</v>
      </c>
      <c r="GP72">
        <f t="shared" si="48"/>
        <v>0</v>
      </c>
      <c r="GR72">
        <v>0</v>
      </c>
      <c r="GS72">
        <v>0</v>
      </c>
      <c r="GT72">
        <v>0</v>
      </c>
      <c r="GU72" t="s">
        <v>3</v>
      </c>
      <c r="GV72">
        <f t="shared" si="49"/>
        <v>0</v>
      </c>
      <c r="GW72">
        <v>1</v>
      </c>
      <c r="GX72">
        <f t="shared" si="50"/>
        <v>0</v>
      </c>
      <c r="HA72">
        <v>0</v>
      </c>
      <c r="HB72">
        <v>0</v>
      </c>
      <c r="HC72">
        <f t="shared" si="51"/>
        <v>0</v>
      </c>
      <c r="HE72" t="s">
        <v>3</v>
      </c>
      <c r="HF72" t="s">
        <v>3</v>
      </c>
      <c r="HM72" t="s">
        <v>3</v>
      </c>
      <c r="HN72" t="s">
        <v>85</v>
      </c>
      <c r="HO72" t="s">
        <v>86</v>
      </c>
      <c r="HP72" t="s">
        <v>82</v>
      </c>
      <c r="HQ72" t="s">
        <v>82</v>
      </c>
      <c r="IK72">
        <v>0</v>
      </c>
    </row>
    <row r="73" spans="1:245" x14ac:dyDescent="0.2">
      <c r="A73">
        <v>17</v>
      </c>
      <c r="B73">
        <v>1</v>
      </c>
      <c r="C73">
        <f>ROW(SmtRes!A72)</f>
        <v>72</v>
      </c>
      <c r="D73">
        <f>ROW(EtalonRes!A68)</f>
        <v>68</v>
      </c>
      <c r="E73" t="s">
        <v>153</v>
      </c>
      <c r="F73" t="s">
        <v>88</v>
      </c>
      <c r="G73" t="s">
        <v>154</v>
      </c>
      <c r="H73" t="s">
        <v>76</v>
      </c>
      <c r="I73">
        <f>ROUND(3/100,7)</f>
        <v>0.03</v>
      </c>
      <c r="J73">
        <v>0</v>
      </c>
      <c r="K73">
        <f>ROUND(3/100,7)</f>
        <v>0.03</v>
      </c>
      <c r="O73">
        <f t="shared" si="30"/>
        <v>4714.04</v>
      </c>
      <c r="P73">
        <f>SUMIF(SmtRes!AQ64:'SmtRes'!AQ72,"=1",SmtRes!DF64:'SmtRes'!DF72)</f>
        <v>401.29</v>
      </c>
      <c r="Q73">
        <f>SUMIF(SmtRes!AQ64:'SmtRes'!AQ72,"=1",SmtRes!DG64:'SmtRes'!DG72)</f>
        <v>2224.2699999999995</v>
      </c>
      <c r="R73">
        <f>SUMIF(SmtRes!AQ64:'SmtRes'!AQ72,"=1",SmtRes!DH64:'SmtRes'!DH72)</f>
        <v>802.17</v>
      </c>
      <c r="S73">
        <f>SUMIF(SmtRes!AQ64:'SmtRes'!AQ72,"=1",SmtRes!DI64:'SmtRes'!DI72)</f>
        <v>1286.31</v>
      </c>
      <c r="T73">
        <f t="shared" si="31"/>
        <v>0</v>
      </c>
      <c r="U73">
        <f>SUMIF(SmtRes!AQ64:'SmtRes'!AQ72,"=1",SmtRes!CV64:'SmtRes'!CV72)</f>
        <v>2.8109999999999999</v>
      </c>
      <c r="V73">
        <f>SUMIF(SmtRes!AQ64:'SmtRes'!AQ72,"=1",SmtRes!CW64:'SmtRes'!CW72)</f>
        <v>1.2918000000000003</v>
      </c>
      <c r="W73">
        <f t="shared" si="32"/>
        <v>0</v>
      </c>
      <c r="X73">
        <f t="shared" si="33"/>
        <v>2422.64</v>
      </c>
      <c r="Y73">
        <f t="shared" si="34"/>
        <v>1670.78</v>
      </c>
      <c r="AA73">
        <v>65170852</v>
      </c>
      <c r="AB73">
        <f t="shared" si="35"/>
        <v>114458.17570000001</v>
      </c>
      <c r="AC73">
        <f>ROUND((SUM(SmtRes!BQ64:'SmtRes'!BQ72)),6)</f>
        <v>11146.929</v>
      </c>
      <c r="AD73">
        <f>ROUND((((SUM(SmtRes!BR64:'SmtRes'!BR72))-(SUM(SmtRes!BS64:'SmtRes'!BS72)))+AE73),6)</f>
        <v>60434.126700000001</v>
      </c>
      <c r="AE73">
        <f>ROUND((SUM(SmtRes!BS64:'SmtRes'!BS72)),6)</f>
        <v>26738.889500000001</v>
      </c>
      <c r="AF73">
        <f>ROUND((SUM(SmtRes!BT64:'SmtRes'!BT72)),6)</f>
        <v>42877.120000000003</v>
      </c>
      <c r="AG73">
        <f t="shared" si="36"/>
        <v>0</v>
      </c>
      <c r="AH73">
        <f>(SUM(SmtRes!BU64:'SmtRes'!BU72))</f>
        <v>93.7</v>
      </c>
      <c r="AI73">
        <f>(SUM(SmtRes!BV64:'SmtRes'!BV72))</f>
        <v>43.06</v>
      </c>
      <c r="AJ73">
        <f t="shared" si="37"/>
        <v>0</v>
      </c>
      <c r="AK73">
        <v>141197.06519999998</v>
      </c>
      <c r="AL73">
        <v>11146.929</v>
      </c>
      <c r="AM73">
        <v>60434.126700000001</v>
      </c>
      <c r="AN73">
        <v>26738.889500000001</v>
      </c>
      <c r="AO73">
        <v>42877.120000000003</v>
      </c>
      <c r="AP73">
        <v>0</v>
      </c>
      <c r="AQ73">
        <v>93.7</v>
      </c>
      <c r="AR73">
        <v>43.06</v>
      </c>
      <c r="AS73">
        <v>0</v>
      </c>
      <c r="AT73">
        <v>116</v>
      </c>
      <c r="AU73">
        <v>80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1</v>
      </c>
      <c r="BJ73" t="s">
        <v>90</v>
      </c>
      <c r="BM73">
        <v>7005</v>
      </c>
      <c r="BN73">
        <v>0</v>
      </c>
      <c r="BO73" t="s">
        <v>3</v>
      </c>
      <c r="BP73">
        <v>0</v>
      </c>
      <c r="BQ73">
        <v>2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116</v>
      </c>
      <c r="CA73">
        <v>80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38"/>
        <v>4714.0399999999991</v>
      </c>
      <c r="CQ73">
        <f>SUMIF(SmtRes!AQ64:'SmtRes'!AQ72,"=1",SmtRes!AA64:'SmtRes'!AA72)</f>
        <v>4534.34</v>
      </c>
      <c r="CR73">
        <f>SUMIF(SmtRes!AQ64:'SmtRes'!AQ72,"=1",SmtRes!AB64:'SmtRes'!AB72)</f>
        <v>4309.6899999999996</v>
      </c>
      <c r="CS73">
        <f>SUMIF(SmtRes!AQ64:'SmtRes'!AQ72,"=1",SmtRes!AC64:'SmtRes'!AC72)</f>
        <v>1808.43</v>
      </c>
      <c r="CT73">
        <f>SUMIF(SmtRes!AQ64:'SmtRes'!AQ72,"=1",SmtRes!AD64:'SmtRes'!AD72)</f>
        <v>457.6</v>
      </c>
      <c r="CU73">
        <f t="shared" si="39"/>
        <v>0</v>
      </c>
      <c r="CV73">
        <f>SUMIF(SmtRes!AQ64:'SmtRes'!AQ72,"=1",SmtRes!BU64:'SmtRes'!BU72)</f>
        <v>93.7</v>
      </c>
      <c r="CW73">
        <f>SUMIF(SmtRes!AQ64:'SmtRes'!AQ72,"=1",SmtRes!BV64:'SmtRes'!BV72)</f>
        <v>43.06</v>
      </c>
      <c r="CX73">
        <f t="shared" si="40"/>
        <v>0</v>
      </c>
      <c r="CY73">
        <f t="shared" si="41"/>
        <v>2422.6367999999998</v>
      </c>
      <c r="CZ73">
        <f t="shared" si="42"/>
        <v>1670.7839999999999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76</v>
      </c>
      <c r="DW73" t="s">
        <v>76</v>
      </c>
      <c r="DX73">
        <v>1</v>
      </c>
      <c r="DZ73" t="s">
        <v>3</v>
      </c>
      <c r="EA73" t="s">
        <v>3</v>
      </c>
      <c r="EB73" t="s">
        <v>3</v>
      </c>
      <c r="EC73" t="s">
        <v>3</v>
      </c>
      <c r="EE73">
        <v>64850954</v>
      </c>
      <c r="EF73">
        <v>2</v>
      </c>
      <c r="EG73" t="s">
        <v>80</v>
      </c>
      <c r="EH73">
        <v>7</v>
      </c>
      <c r="EI73" t="s">
        <v>81</v>
      </c>
      <c r="EJ73">
        <v>1</v>
      </c>
      <c r="EK73">
        <v>7005</v>
      </c>
      <c r="EL73" t="s">
        <v>82</v>
      </c>
      <c r="EM73" t="s">
        <v>83</v>
      </c>
      <c r="EO73" t="s">
        <v>3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93.7</v>
      </c>
      <c r="EX73">
        <v>43.06</v>
      </c>
      <c r="EY73">
        <v>0</v>
      </c>
      <c r="FQ73">
        <v>0</v>
      </c>
      <c r="FR73">
        <f t="shared" si="43"/>
        <v>0</v>
      </c>
      <c r="FS73">
        <v>0</v>
      </c>
      <c r="FX73">
        <v>116</v>
      </c>
      <c r="FY73">
        <v>80</v>
      </c>
      <c r="GA73" t="s">
        <v>3</v>
      </c>
      <c r="GD73">
        <v>1</v>
      </c>
      <c r="GF73">
        <v>1435367326</v>
      </c>
      <c r="GG73">
        <v>2</v>
      </c>
      <c r="GH73">
        <v>1</v>
      </c>
      <c r="GI73">
        <v>-2</v>
      </c>
      <c r="GJ73">
        <v>0</v>
      </c>
      <c r="GK73">
        <v>0</v>
      </c>
      <c r="GL73">
        <f t="shared" si="44"/>
        <v>0</v>
      </c>
      <c r="GM73">
        <f t="shared" si="45"/>
        <v>8807.4599999999991</v>
      </c>
      <c r="GN73">
        <f t="shared" si="46"/>
        <v>8807.4599999999991</v>
      </c>
      <c r="GO73">
        <f t="shared" si="47"/>
        <v>0</v>
      </c>
      <c r="GP73">
        <f t="shared" si="48"/>
        <v>0</v>
      </c>
      <c r="GR73">
        <v>0</v>
      </c>
      <c r="GS73">
        <v>0</v>
      </c>
      <c r="GT73">
        <v>0</v>
      </c>
      <c r="GU73" t="s">
        <v>3</v>
      </c>
      <c r="GV73">
        <f t="shared" si="49"/>
        <v>0</v>
      </c>
      <c r="GW73">
        <v>1</v>
      </c>
      <c r="GX73">
        <f t="shared" si="50"/>
        <v>0</v>
      </c>
      <c r="HA73">
        <v>0</v>
      </c>
      <c r="HB73">
        <v>0</v>
      </c>
      <c r="HC73">
        <f t="shared" si="51"/>
        <v>0</v>
      </c>
      <c r="HE73" t="s">
        <v>3</v>
      </c>
      <c r="HF73" t="s">
        <v>3</v>
      </c>
      <c r="HM73" t="s">
        <v>3</v>
      </c>
      <c r="HN73" t="s">
        <v>85</v>
      </c>
      <c r="HO73" t="s">
        <v>86</v>
      </c>
      <c r="HP73" t="s">
        <v>82</v>
      </c>
      <c r="HQ73" t="s">
        <v>82</v>
      </c>
      <c r="IK73">
        <v>0</v>
      </c>
    </row>
    <row r="74" spans="1:245" x14ac:dyDescent="0.2">
      <c r="A74">
        <v>18</v>
      </c>
      <c r="B74">
        <v>1</v>
      </c>
      <c r="C74">
        <v>71</v>
      </c>
      <c r="E74" t="s">
        <v>155</v>
      </c>
      <c r="F74" t="s">
        <v>150</v>
      </c>
      <c r="G74" t="s">
        <v>156</v>
      </c>
      <c r="H74" t="s">
        <v>129</v>
      </c>
      <c r="I74">
        <f>I73*J74</f>
        <v>1.629</v>
      </c>
      <c r="J74">
        <v>54.300000000000004</v>
      </c>
      <c r="K74">
        <v>54.3</v>
      </c>
      <c r="O74">
        <f t="shared" si="30"/>
        <v>36409.94</v>
      </c>
      <c r="P74">
        <f>ROUND(CQ74*I74,2)</f>
        <v>36409.94</v>
      </c>
      <c r="Q74">
        <f>ROUND(CR74*I74,2)</f>
        <v>0</v>
      </c>
      <c r="R74">
        <f>ROUND(CS74*I74,2)</f>
        <v>0</v>
      </c>
      <c r="S74">
        <f>ROUND(CT74*I74,2)</f>
        <v>0</v>
      </c>
      <c r="T74">
        <f t="shared" si="31"/>
        <v>0</v>
      </c>
      <c r="U74">
        <f>ROUND(CV74*I74,7)</f>
        <v>0</v>
      </c>
      <c r="V74">
        <f>ROUND(CW74*I74,7)</f>
        <v>0</v>
      </c>
      <c r="W74">
        <f t="shared" si="32"/>
        <v>0</v>
      </c>
      <c r="X74">
        <f t="shared" si="33"/>
        <v>0</v>
      </c>
      <c r="Y74">
        <f t="shared" si="34"/>
        <v>0</v>
      </c>
      <c r="AA74">
        <v>65170852</v>
      </c>
      <c r="AB74">
        <f t="shared" si="35"/>
        <v>14327.63</v>
      </c>
      <c r="AC74">
        <f>ROUND((ES74),6)</f>
        <v>14327.63</v>
      </c>
      <c r="AD74">
        <f>ROUND((((ET74)-(EU74))+AE74),6)</f>
        <v>0</v>
      </c>
      <c r="AE74">
        <f>ROUND((EU74),6)</f>
        <v>0</v>
      </c>
      <c r="AF74">
        <f>ROUND((EV74),6)</f>
        <v>0</v>
      </c>
      <c r="AG74">
        <f t="shared" si="36"/>
        <v>0</v>
      </c>
      <c r="AH74">
        <f>(EW74)</f>
        <v>0</v>
      </c>
      <c r="AI74">
        <f>(EX74)</f>
        <v>0</v>
      </c>
      <c r="AJ74">
        <f t="shared" si="37"/>
        <v>0</v>
      </c>
      <c r="AK74">
        <v>14327.63</v>
      </c>
      <c r="AL74">
        <v>14327.63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116</v>
      </c>
      <c r="AU74">
        <v>80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1.56</v>
      </c>
      <c r="BD74" t="s">
        <v>3</v>
      </c>
      <c r="BE74" t="s">
        <v>3</v>
      </c>
      <c r="BF74" t="s">
        <v>3</v>
      </c>
      <c r="BG74" t="s">
        <v>3</v>
      </c>
      <c r="BH74">
        <v>3</v>
      </c>
      <c r="BI74">
        <v>1</v>
      </c>
      <c r="BJ74" t="s">
        <v>152</v>
      </c>
      <c r="BM74">
        <v>7005</v>
      </c>
      <c r="BN74">
        <v>0</v>
      </c>
      <c r="BO74" t="s">
        <v>150</v>
      </c>
      <c r="BP74">
        <v>1</v>
      </c>
      <c r="BQ74">
        <v>2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116</v>
      </c>
      <c r="CA74">
        <v>80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38"/>
        <v>36409.94</v>
      </c>
      <c r="CQ74">
        <f>ROUND(AL74*BC74,2)</f>
        <v>22351.1</v>
      </c>
      <c r="CR74">
        <f>ROUND(AM74*BB74,2)</f>
        <v>0</v>
      </c>
      <c r="CS74">
        <f>ROUND(AN74*BS74,2)</f>
        <v>0</v>
      </c>
      <c r="CT74">
        <f>ROUND(AO74*BA74,2)</f>
        <v>0</v>
      </c>
      <c r="CU74">
        <f t="shared" si="39"/>
        <v>0</v>
      </c>
      <c r="CV74">
        <f>AH74</f>
        <v>0</v>
      </c>
      <c r="CW74">
        <f>AI74</f>
        <v>0</v>
      </c>
      <c r="CX74">
        <f t="shared" si="40"/>
        <v>0</v>
      </c>
      <c r="CY74">
        <f t="shared" si="41"/>
        <v>0</v>
      </c>
      <c r="CZ74">
        <f t="shared" si="42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1007</v>
      </c>
      <c r="DV74" t="s">
        <v>129</v>
      </c>
      <c r="DW74" t="s">
        <v>129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64850954</v>
      </c>
      <c r="EF74">
        <v>2</v>
      </c>
      <c r="EG74" t="s">
        <v>80</v>
      </c>
      <c r="EH74">
        <v>7</v>
      </c>
      <c r="EI74" t="s">
        <v>81</v>
      </c>
      <c r="EJ74">
        <v>1</v>
      </c>
      <c r="EK74">
        <v>7005</v>
      </c>
      <c r="EL74" t="s">
        <v>82</v>
      </c>
      <c r="EM74" t="s">
        <v>83</v>
      </c>
      <c r="EO74" t="s">
        <v>3</v>
      </c>
      <c r="EQ74">
        <v>0</v>
      </c>
      <c r="ER74">
        <v>14327.63</v>
      </c>
      <c r="ES74">
        <v>14327.63</v>
      </c>
      <c r="ET74">
        <v>0</v>
      </c>
      <c r="EU74">
        <v>0</v>
      </c>
      <c r="EV74">
        <v>0</v>
      </c>
      <c r="EW74">
        <v>0</v>
      </c>
      <c r="EX74">
        <v>0</v>
      </c>
      <c r="FQ74">
        <v>0</v>
      </c>
      <c r="FR74">
        <f t="shared" si="43"/>
        <v>0</v>
      </c>
      <c r="FS74">
        <v>0</v>
      </c>
      <c r="FX74">
        <v>116</v>
      </c>
      <c r="FY74">
        <v>80</v>
      </c>
      <c r="GA74" t="s">
        <v>3</v>
      </c>
      <c r="GD74">
        <v>1</v>
      </c>
      <c r="GF74">
        <v>-1633002528</v>
      </c>
      <c r="GG74">
        <v>2</v>
      </c>
      <c r="GH74">
        <v>1</v>
      </c>
      <c r="GI74">
        <v>2</v>
      </c>
      <c r="GJ74">
        <v>0</v>
      </c>
      <c r="GK74">
        <v>0</v>
      </c>
      <c r="GL74">
        <f t="shared" si="44"/>
        <v>0</v>
      </c>
      <c r="GM74">
        <f t="shared" si="45"/>
        <v>36409.94</v>
      </c>
      <c r="GN74">
        <f t="shared" si="46"/>
        <v>36409.94</v>
      </c>
      <c r="GO74">
        <f t="shared" si="47"/>
        <v>0</v>
      </c>
      <c r="GP74">
        <f t="shared" si="48"/>
        <v>0</v>
      </c>
      <c r="GR74">
        <v>0</v>
      </c>
      <c r="GS74">
        <v>0</v>
      </c>
      <c r="GT74">
        <v>0</v>
      </c>
      <c r="GU74" t="s">
        <v>3</v>
      </c>
      <c r="GV74">
        <f t="shared" si="49"/>
        <v>0</v>
      </c>
      <c r="GW74">
        <v>1</v>
      </c>
      <c r="GX74">
        <f t="shared" si="50"/>
        <v>0</v>
      </c>
      <c r="HA74">
        <v>0</v>
      </c>
      <c r="HB74">
        <v>0</v>
      </c>
      <c r="HC74">
        <f t="shared" si="51"/>
        <v>0</v>
      </c>
      <c r="HE74" t="s">
        <v>3</v>
      </c>
      <c r="HF74" t="s">
        <v>3</v>
      </c>
      <c r="HM74" t="s">
        <v>3</v>
      </c>
      <c r="HN74" t="s">
        <v>85</v>
      </c>
      <c r="HO74" t="s">
        <v>86</v>
      </c>
      <c r="HP74" t="s">
        <v>82</v>
      </c>
      <c r="HQ74" t="s">
        <v>82</v>
      </c>
      <c r="IK74">
        <v>0</v>
      </c>
    </row>
    <row r="75" spans="1:245" x14ac:dyDescent="0.2">
      <c r="A75">
        <v>17</v>
      </c>
      <c r="B75">
        <v>1</v>
      </c>
      <c r="C75">
        <f>ROW(SmtRes!A95)</f>
        <v>95</v>
      </c>
      <c r="D75">
        <f>ROW(EtalonRes!A90)</f>
        <v>90</v>
      </c>
      <c r="E75" t="s">
        <v>157</v>
      </c>
      <c r="F75" t="s">
        <v>92</v>
      </c>
      <c r="G75" t="s">
        <v>158</v>
      </c>
      <c r="H75" t="s">
        <v>94</v>
      </c>
      <c r="I75">
        <v>0.11544</v>
      </c>
      <c r="J75">
        <v>0</v>
      </c>
      <c r="K75">
        <v>0.11544</v>
      </c>
      <c r="O75">
        <f t="shared" si="30"/>
        <v>3873.6</v>
      </c>
      <c r="P75">
        <f>SUMIF(SmtRes!AQ73:'SmtRes'!AQ95,"=1",SmtRes!DF73:'SmtRes'!DF95)</f>
        <v>564.66</v>
      </c>
      <c r="Q75">
        <f>SUMIF(SmtRes!AQ73:'SmtRes'!AQ95,"=1",SmtRes!DG73:'SmtRes'!DG95)</f>
        <v>968.4899999999999</v>
      </c>
      <c r="R75">
        <f>SUMIF(SmtRes!AQ73:'SmtRes'!AQ95,"=1",SmtRes!DH73:'SmtRes'!DH95)</f>
        <v>301.33999999999997</v>
      </c>
      <c r="S75">
        <f>SUMIF(SmtRes!AQ73:'SmtRes'!AQ95,"=1",SmtRes!DI73:'SmtRes'!DI95)</f>
        <v>2039.11</v>
      </c>
      <c r="T75">
        <f t="shared" si="31"/>
        <v>0</v>
      </c>
      <c r="U75">
        <f>SUMIF(SmtRes!AQ73:'SmtRes'!AQ95,"=1",SmtRes!CV73:'SmtRes'!CV95)</f>
        <v>4.565652</v>
      </c>
      <c r="V75">
        <f>SUMIF(SmtRes!AQ73:'SmtRes'!AQ95,"=1",SmtRes!CW73:'SmtRes'!CW95)</f>
        <v>0.4629144</v>
      </c>
      <c r="W75">
        <f t="shared" si="32"/>
        <v>0</v>
      </c>
      <c r="X75">
        <f t="shared" si="33"/>
        <v>2176.62</v>
      </c>
      <c r="Y75">
        <f t="shared" si="34"/>
        <v>1451.08</v>
      </c>
      <c r="AA75">
        <v>65170852</v>
      </c>
      <c r="AB75">
        <f t="shared" si="35"/>
        <v>28569.84244</v>
      </c>
      <c r="AC75">
        <f>ROUND((SUM(SmtRes!BQ73:'SmtRes'!BQ95)),6)</f>
        <v>4304.2918399999999</v>
      </c>
      <c r="AD75">
        <f>ROUND((((SUM(SmtRes!BR73:'SmtRes'!BR95))-(SUM(SmtRes!BS73:'SmtRes'!BS95)))+AE75),6)</f>
        <v>6601.7295999999997</v>
      </c>
      <c r="AE75">
        <f>ROUND((SUM(SmtRes!BS73:'SmtRes'!BS95)),6)</f>
        <v>2610.3553000000002</v>
      </c>
      <c r="AF75">
        <f>ROUND((SUM(SmtRes!BT73:'SmtRes'!BT95)),6)</f>
        <v>17663.821</v>
      </c>
      <c r="AG75">
        <f t="shared" si="36"/>
        <v>0</v>
      </c>
      <c r="AH75">
        <f>(SUM(SmtRes!BU73:'SmtRes'!BU95))</f>
        <v>39.549999999999997</v>
      </c>
      <c r="AI75">
        <f>(SUM(SmtRes!BV73:'SmtRes'!BV95))</f>
        <v>4.0100000000000007</v>
      </c>
      <c r="AJ75">
        <f t="shared" si="37"/>
        <v>0</v>
      </c>
      <c r="AK75">
        <v>31180.197740399995</v>
      </c>
      <c r="AL75">
        <v>4304.2918403999993</v>
      </c>
      <c r="AM75">
        <v>6601.7295999999988</v>
      </c>
      <c r="AN75">
        <v>2610.3553000000002</v>
      </c>
      <c r="AO75">
        <v>17663.821</v>
      </c>
      <c r="AP75">
        <v>0</v>
      </c>
      <c r="AQ75">
        <v>39.549999999999997</v>
      </c>
      <c r="AR75">
        <v>4.0100000000000007</v>
      </c>
      <c r="AS75">
        <v>0</v>
      </c>
      <c r="AT75">
        <v>93</v>
      </c>
      <c r="AU75">
        <v>62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1</v>
      </c>
      <c r="BJ75" t="s">
        <v>95</v>
      </c>
      <c r="BM75">
        <v>9001</v>
      </c>
      <c r="BN75">
        <v>0</v>
      </c>
      <c r="BO75" t="s">
        <v>3</v>
      </c>
      <c r="BP75">
        <v>0</v>
      </c>
      <c r="BQ75">
        <v>2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93</v>
      </c>
      <c r="CA75">
        <v>62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38"/>
        <v>3873.6</v>
      </c>
      <c r="CQ75">
        <f>SUMIF(SmtRes!AQ73:'SmtRes'!AQ95,"=1",SmtRes!AA73:'SmtRes'!AA95)</f>
        <v>968115.58</v>
      </c>
      <c r="CR75">
        <f>SUMIF(SmtRes!AQ73:'SmtRes'!AQ95,"=1",SmtRes!AB73:'SmtRes'!AB95)</f>
        <v>6685.6100000000006</v>
      </c>
      <c r="CS75">
        <f>SUMIF(SmtRes!AQ73:'SmtRes'!AQ95,"=1",SmtRes!AC73:'SmtRes'!AC95)</f>
        <v>2467.3700000000003</v>
      </c>
      <c r="CT75">
        <f>SUMIF(SmtRes!AQ73:'SmtRes'!AQ95,"=1",SmtRes!AD73:'SmtRes'!AD95)</f>
        <v>446.62</v>
      </c>
      <c r="CU75">
        <f t="shared" si="39"/>
        <v>0</v>
      </c>
      <c r="CV75">
        <f>SUMIF(SmtRes!AQ73:'SmtRes'!AQ95,"=1",SmtRes!BU73:'SmtRes'!BU95)</f>
        <v>39.549999999999997</v>
      </c>
      <c r="CW75">
        <f>SUMIF(SmtRes!AQ73:'SmtRes'!AQ95,"=1",SmtRes!BV73:'SmtRes'!BV95)</f>
        <v>4.0100000000000007</v>
      </c>
      <c r="CX75">
        <f t="shared" si="40"/>
        <v>0</v>
      </c>
      <c r="CY75">
        <f t="shared" si="41"/>
        <v>2176.6184999999996</v>
      </c>
      <c r="CZ75">
        <f t="shared" si="42"/>
        <v>1451.079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1009</v>
      </c>
      <c r="DV75" t="s">
        <v>94</v>
      </c>
      <c r="DW75" t="s">
        <v>94</v>
      </c>
      <c r="DX75">
        <v>1000</v>
      </c>
      <c r="DZ75" t="s">
        <v>3</v>
      </c>
      <c r="EA75" t="s">
        <v>3</v>
      </c>
      <c r="EB75" t="s">
        <v>3</v>
      </c>
      <c r="EC75" t="s">
        <v>3</v>
      </c>
      <c r="EE75">
        <v>64851001</v>
      </c>
      <c r="EF75">
        <v>2</v>
      </c>
      <c r="EG75" t="s">
        <v>80</v>
      </c>
      <c r="EH75">
        <v>9</v>
      </c>
      <c r="EI75" t="s">
        <v>99</v>
      </c>
      <c r="EJ75">
        <v>1</v>
      </c>
      <c r="EK75">
        <v>9001</v>
      </c>
      <c r="EL75" t="s">
        <v>99</v>
      </c>
      <c r="EM75" t="s">
        <v>100</v>
      </c>
      <c r="EO75" t="s">
        <v>3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39.549999999999997</v>
      </c>
      <c r="EX75">
        <v>4.01</v>
      </c>
      <c r="EY75">
        <v>0</v>
      </c>
      <c r="FQ75">
        <v>0</v>
      </c>
      <c r="FR75">
        <f t="shared" si="43"/>
        <v>0</v>
      </c>
      <c r="FS75">
        <v>0</v>
      </c>
      <c r="FX75">
        <v>93</v>
      </c>
      <c r="FY75">
        <v>62</v>
      </c>
      <c r="GA75" t="s">
        <v>3</v>
      </c>
      <c r="GD75">
        <v>1</v>
      </c>
      <c r="GF75">
        <v>1168181423</v>
      </c>
      <c r="GG75">
        <v>2</v>
      </c>
      <c r="GH75">
        <v>1</v>
      </c>
      <c r="GI75">
        <v>-2</v>
      </c>
      <c r="GJ75">
        <v>0</v>
      </c>
      <c r="GK75">
        <v>0</v>
      </c>
      <c r="GL75">
        <f t="shared" si="44"/>
        <v>0</v>
      </c>
      <c r="GM75">
        <f t="shared" si="45"/>
        <v>7501.3</v>
      </c>
      <c r="GN75">
        <f t="shared" si="46"/>
        <v>7501.3</v>
      </c>
      <c r="GO75">
        <f t="shared" si="47"/>
        <v>0</v>
      </c>
      <c r="GP75">
        <f t="shared" si="48"/>
        <v>0</v>
      </c>
      <c r="GR75">
        <v>0</v>
      </c>
      <c r="GS75">
        <v>0</v>
      </c>
      <c r="GT75">
        <v>0</v>
      </c>
      <c r="GU75" t="s">
        <v>3</v>
      </c>
      <c r="GV75">
        <f t="shared" si="49"/>
        <v>0</v>
      </c>
      <c r="GW75">
        <v>1</v>
      </c>
      <c r="GX75">
        <f t="shared" si="50"/>
        <v>0</v>
      </c>
      <c r="HA75">
        <v>0</v>
      </c>
      <c r="HB75">
        <v>0</v>
      </c>
      <c r="HC75">
        <f t="shared" si="51"/>
        <v>0</v>
      </c>
      <c r="HE75" t="s">
        <v>3</v>
      </c>
      <c r="HF75" t="s">
        <v>3</v>
      </c>
      <c r="HM75" t="s">
        <v>3</v>
      </c>
      <c r="HN75" t="s">
        <v>102</v>
      </c>
      <c r="HO75" t="s">
        <v>103</v>
      </c>
      <c r="HP75" t="s">
        <v>99</v>
      </c>
      <c r="HQ75" t="s">
        <v>99</v>
      </c>
      <c r="IK75">
        <v>0</v>
      </c>
    </row>
    <row r="76" spans="1:245" x14ac:dyDescent="0.2">
      <c r="A76">
        <v>18</v>
      </c>
      <c r="B76">
        <v>1</v>
      </c>
      <c r="C76">
        <v>91</v>
      </c>
      <c r="E76" t="s">
        <v>159</v>
      </c>
      <c r="F76" t="s">
        <v>160</v>
      </c>
      <c r="G76" t="s">
        <v>161</v>
      </c>
      <c r="H76" t="s">
        <v>94</v>
      </c>
      <c r="I76">
        <f>I75*J76</f>
        <v>0.11544</v>
      </c>
      <c r="J76">
        <v>1</v>
      </c>
      <c r="K76">
        <v>1</v>
      </c>
      <c r="O76">
        <f t="shared" si="30"/>
        <v>6974.78</v>
      </c>
      <c r="P76">
        <f>ROUND(CQ76*I76,2)</f>
        <v>6974.78</v>
      </c>
      <c r="Q76">
        <f>ROUND(CR76*I76,2)</f>
        <v>0</v>
      </c>
      <c r="R76">
        <f>ROUND(CS76*I76,2)</f>
        <v>0</v>
      </c>
      <c r="S76">
        <f>ROUND(CT76*I76,2)</f>
        <v>0</v>
      </c>
      <c r="T76">
        <f t="shared" si="31"/>
        <v>0</v>
      </c>
      <c r="U76">
        <f>ROUND(CV76*I76,7)</f>
        <v>0</v>
      </c>
      <c r="V76">
        <f>ROUND(CW76*I76,7)</f>
        <v>0</v>
      </c>
      <c r="W76">
        <f t="shared" si="32"/>
        <v>0</v>
      </c>
      <c r="X76">
        <f t="shared" si="33"/>
        <v>0</v>
      </c>
      <c r="Y76">
        <f t="shared" si="34"/>
        <v>0</v>
      </c>
      <c r="AA76">
        <v>65170852</v>
      </c>
      <c r="AB76">
        <f t="shared" si="35"/>
        <v>60419.11</v>
      </c>
      <c r="AC76">
        <f>ROUND((ES76),6)</f>
        <v>60419.11</v>
      </c>
      <c r="AD76">
        <f>ROUND((((ET76)-(EU76))+AE76),6)</f>
        <v>0</v>
      </c>
      <c r="AE76">
        <f>ROUND((EU76),6)</f>
        <v>0</v>
      </c>
      <c r="AF76">
        <f>ROUND((EV76),6)</f>
        <v>0</v>
      </c>
      <c r="AG76">
        <f t="shared" si="36"/>
        <v>0</v>
      </c>
      <c r="AH76">
        <f>(EW76)</f>
        <v>0</v>
      </c>
      <c r="AI76">
        <f>(EX76)</f>
        <v>0</v>
      </c>
      <c r="AJ76">
        <f t="shared" si="37"/>
        <v>0</v>
      </c>
      <c r="AK76">
        <v>60419.11</v>
      </c>
      <c r="AL76">
        <v>60419.11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93</v>
      </c>
      <c r="AU76">
        <v>62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1</v>
      </c>
      <c r="BJ76" t="s">
        <v>162</v>
      </c>
      <c r="BM76">
        <v>9001</v>
      </c>
      <c r="BN76">
        <v>0</v>
      </c>
      <c r="BO76" t="s">
        <v>3</v>
      </c>
      <c r="BP76">
        <v>0</v>
      </c>
      <c r="BQ76">
        <v>2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93</v>
      </c>
      <c r="CA76">
        <v>62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38"/>
        <v>6974.78</v>
      </c>
      <c r="CQ76">
        <f>ROUND(AL76*BC76,2)</f>
        <v>60419.11</v>
      </c>
      <c r="CR76">
        <f>ROUND(AM76*BB76,2)</f>
        <v>0</v>
      </c>
      <c r="CS76">
        <f>ROUND(AN76*BS76,2)</f>
        <v>0</v>
      </c>
      <c r="CT76">
        <f>ROUND(AO76*BA76,2)</f>
        <v>0</v>
      </c>
      <c r="CU76">
        <f t="shared" si="39"/>
        <v>0</v>
      </c>
      <c r="CV76">
        <f>AH76</f>
        <v>0</v>
      </c>
      <c r="CW76">
        <f>AI76</f>
        <v>0</v>
      </c>
      <c r="CX76">
        <f t="shared" si="40"/>
        <v>0</v>
      </c>
      <c r="CY76">
        <f t="shared" si="41"/>
        <v>0</v>
      </c>
      <c r="CZ76">
        <f t="shared" si="42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1009</v>
      </c>
      <c r="DV76" t="s">
        <v>94</v>
      </c>
      <c r="DW76" t="s">
        <v>94</v>
      </c>
      <c r="DX76">
        <v>1000</v>
      </c>
      <c r="DZ76" t="s">
        <v>3</v>
      </c>
      <c r="EA76" t="s">
        <v>3</v>
      </c>
      <c r="EB76" t="s">
        <v>3</v>
      </c>
      <c r="EC76" t="s">
        <v>3</v>
      </c>
      <c r="EE76">
        <v>64851001</v>
      </c>
      <c r="EF76">
        <v>2</v>
      </c>
      <c r="EG76" t="s">
        <v>80</v>
      </c>
      <c r="EH76">
        <v>9</v>
      </c>
      <c r="EI76" t="s">
        <v>99</v>
      </c>
      <c r="EJ76">
        <v>1</v>
      </c>
      <c r="EK76">
        <v>9001</v>
      </c>
      <c r="EL76" t="s">
        <v>99</v>
      </c>
      <c r="EM76" t="s">
        <v>100</v>
      </c>
      <c r="EO76" t="s">
        <v>3</v>
      </c>
      <c r="EQ76">
        <v>0</v>
      </c>
      <c r="ER76">
        <v>60419.11</v>
      </c>
      <c r="ES76">
        <v>60419.11</v>
      </c>
      <c r="ET76">
        <v>0</v>
      </c>
      <c r="EU76">
        <v>0</v>
      </c>
      <c r="EV76">
        <v>0</v>
      </c>
      <c r="EW76">
        <v>0</v>
      </c>
      <c r="EX76">
        <v>0</v>
      </c>
      <c r="FQ76">
        <v>0</v>
      </c>
      <c r="FR76">
        <f t="shared" si="43"/>
        <v>0</v>
      </c>
      <c r="FS76">
        <v>0</v>
      </c>
      <c r="FX76">
        <v>93</v>
      </c>
      <c r="FY76">
        <v>62</v>
      </c>
      <c r="GA76" t="s">
        <v>3</v>
      </c>
      <c r="GD76">
        <v>1</v>
      </c>
      <c r="GF76">
        <v>217053797</v>
      </c>
      <c r="GG76">
        <v>2</v>
      </c>
      <c r="GH76">
        <v>1</v>
      </c>
      <c r="GI76">
        <v>-2</v>
      </c>
      <c r="GJ76">
        <v>0</v>
      </c>
      <c r="GK76">
        <v>0</v>
      </c>
      <c r="GL76">
        <f t="shared" si="44"/>
        <v>0</v>
      </c>
      <c r="GM76">
        <f t="shared" si="45"/>
        <v>6974.78</v>
      </c>
      <c r="GN76">
        <f t="shared" si="46"/>
        <v>6974.78</v>
      </c>
      <c r="GO76">
        <f t="shared" si="47"/>
        <v>0</v>
      </c>
      <c r="GP76">
        <f t="shared" si="48"/>
        <v>0</v>
      </c>
      <c r="GR76">
        <v>0</v>
      </c>
      <c r="GS76">
        <v>0</v>
      </c>
      <c r="GT76">
        <v>0</v>
      </c>
      <c r="GU76" t="s">
        <v>3</v>
      </c>
      <c r="GV76">
        <f t="shared" si="49"/>
        <v>0</v>
      </c>
      <c r="GW76">
        <v>1</v>
      </c>
      <c r="GX76">
        <f t="shared" si="50"/>
        <v>0</v>
      </c>
      <c r="HA76">
        <v>0</v>
      </c>
      <c r="HB76">
        <v>0</v>
      </c>
      <c r="HC76">
        <f t="shared" si="51"/>
        <v>0</v>
      </c>
      <c r="HE76" t="s">
        <v>3</v>
      </c>
      <c r="HF76" t="s">
        <v>3</v>
      </c>
      <c r="HM76" t="s">
        <v>3</v>
      </c>
      <c r="HN76" t="s">
        <v>102</v>
      </c>
      <c r="HO76" t="s">
        <v>103</v>
      </c>
      <c r="HP76" t="s">
        <v>99</v>
      </c>
      <c r="HQ76" t="s">
        <v>99</v>
      </c>
      <c r="IK76">
        <v>0</v>
      </c>
    </row>
    <row r="77" spans="1:245" x14ac:dyDescent="0.2">
      <c r="A77">
        <v>17</v>
      </c>
      <c r="B77">
        <v>1</v>
      </c>
      <c r="C77">
        <f>ROW(SmtRes!A103)</f>
        <v>103</v>
      </c>
      <c r="D77">
        <f>ROW(EtalonRes!A98)</f>
        <v>98</v>
      </c>
      <c r="E77" t="s">
        <v>163</v>
      </c>
      <c r="F77" t="s">
        <v>164</v>
      </c>
      <c r="G77" t="s">
        <v>165</v>
      </c>
      <c r="H77" t="s">
        <v>107</v>
      </c>
      <c r="I77">
        <f>ROUND(81.82/100,7)</f>
        <v>0.81820000000000004</v>
      </c>
      <c r="J77">
        <v>0</v>
      </c>
      <c r="K77">
        <f>ROUND(81.82/100,7)</f>
        <v>0.81820000000000004</v>
      </c>
      <c r="O77">
        <f t="shared" si="30"/>
        <v>20712.97</v>
      </c>
      <c r="P77">
        <f>SUMIF(SmtRes!AQ96:'SmtRes'!AQ103,"=1",SmtRes!DF96:'SmtRes'!DF103)</f>
        <v>1306.6300000000001</v>
      </c>
      <c r="Q77">
        <f>SUMIF(SmtRes!AQ96:'SmtRes'!AQ103,"=1",SmtRes!DG96:'SmtRes'!DG103)</f>
        <v>611.79</v>
      </c>
      <c r="R77">
        <f>SUMIF(SmtRes!AQ96:'SmtRes'!AQ103,"=1",SmtRes!DH96:'SmtRes'!DH103)</f>
        <v>220.75</v>
      </c>
      <c r="S77">
        <f>SUMIF(SmtRes!AQ96:'SmtRes'!AQ103,"=1",SmtRes!DI96:'SmtRes'!DI103)</f>
        <v>18573.8</v>
      </c>
      <c r="T77">
        <f t="shared" si="31"/>
        <v>0</v>
      </c>
      <c r="U77">
        <f>SUMIF(SmtRes!AQ96:'SmtRes'!AQ103,"=1",SmtRes!CV96:'SmtRes'!CV103)</f>
        <v>38.291759999999996</v>
      </c>
      <c r="V77">
        <f>SUMIF(SmtRes!AQ96:'SmtRes'!AQ103,"=1",SmtRes!CW96:'SmtRes'!CW103)</f>
        <v>0.45001000000000002</v>
      </c>
      <c r="W77">
        <f t="shared" si="32"/>
        <v>0</v>
      </c>
      <c r="X77">
        <f t="shared" si="33"/>
        <v>20674.009999999998</v>
      </c>
      <c r="Y77">
        <f t="shared" si="34"/>
        <v>12968.24</v>
      </c>
      <c r="AA77">
        <v>65170852</v>
      </c>
      <c r="AB77">
        <f t="shared" si="35"/>
        <v>24797.141</v>
      </c>
      <c r="AC77">
        <f>ROUND((SUM(SmtRes!BQ96:'SmtRes'!BQ103)),6)</f>
        <v>1492.482</v>
      </c>
      <c r="AD77">
        <f>ROUND((((SUM(SmtRes!BR96:'SmtRes'!BR103))-(SUM(SmtRes!BS96:'SmtRes'!BS103)))+AE77),6)</f>
        <v>603.851</v>
      </c>
      <c r="AE77">
        <f>ROUND((SUM(SmtRes!BS96:'SmtRes'!BS103)),6)</f>
        <v>269.80250000000001</v>
      </c>
      <c r="AF77">
        <f>ROUND((SUM(SmtRes!BT96:'SmtRes'!BT103)),6)</f>
        <v>22700.808000000001</v>
      </c>
      <c r="AG77">
        <f t="shared" si="36"/>
        <v>0</v>
      </c>
      <c r="AH77">
        <f>(SUM(SmtRes!BU96:'SmtRes'!BU103))</f>
        <v>46.8</v>
      </c>
      <c r="AI77">
        <f>(SUM(SmtRes!BV96:'SmtRes'!BV103))</f>
        <v>0.55000000000000004</v>
      </c>
      <c r="AJ77">
        <f t="shared" si="37"/>
        <v>0</v>
      </c>
      <c r="AK77">
        <v>25066.943499999998</v>
      </c>
      <c r="AL77">
        <v>1492.482</v>
      </c>
      <c r="AM77">
        <v>603.85100000000011</v>
      </c>
      <c r="AN77">
        <v>269.80250000000001</v>
      </c>
      <c r="AO77">
        <v>22700.807999999997</v>
      </c>
      <c r="AP77">
        <v>0</v>
      </c>
      <c r="AQ77">
        <v>46.8</v>
      </c>
      <c r="AR77">
        <v>0.55000000000000004</v>
      </c>
      <c r="AS77">
        <v>0</v>
      </c>
      <c r="AT77">
        <v>110</v>
      </c>
      <c r="AU77">
        <v>69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1</v>
      </c>
      <c r="BJ77" t="s">
        <v>166</v>
      </c>
      <c r="BM77">
        <v>8001</v>
      </c>
      <c r="BN77">
        <v>0</v>
      </c>
      <c r="BO77" t="s">
        <v>3</v>
      </c>
      <c r="BP77">
        <v>0</v>
      </c>
      <c r="BQ77">
        <v>2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110</v>
      </c>
      <c r="CA77">
        <v>69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38"/>
        <v>20712.97</v>
      </c>
      <c r="CQ77">
        <f>SUMIF(SmtRes!AQ96:'SmtRes'!AQ103,"=1",SmtRes!AA96:'SmtRes'!AA103)</f>
        <v>66539.820000000007</v>
      </c>
      <c r="CR77">
        <f>SUMIF(SmtRes!AQ96:'SmtRes'!AQ103,"=1",SmtRes!AB96:'SmtRes'!AB103)</f>
        <v>698.3</v>
      </c>
      <c r="CS77">
        <f>SUMIF(SmtRes!AQ96:'SmtRes'!AQ103,"=1",SmtRes!AC96:'SmtRes'!AC103)</f>
        <v>490.55</v>
      </c>
      <c r="CT77">
        <f>SUMIF(SmtRes!AQ96:'SmtRes'!AQ103,"=1",SmtRes!AD96:'SmtRes'!AD103)</f>
        <v>485.06</v>
      </c>
      <c r="CU77">
        <f t="shared" si="39"/>
        <v>0</v>
      </c>
      <c r="CV77">
        <f>SUMIF(SmtRes!AQ96:'SmtRes'!AQ103,"=1",SmtRes!BU96:'SmtRes'!BU103)</f>
        <v>46.8</v>
      </c>
      <c r="CW77">
        <f>SUMIF(SmtRes!AQ96:'SmtRes'!AQ103,"=1",SmtRes!BV96:'SmtRes'!BV103)</f>
        <v>0.55000000000000004</v>
      </c>
      <c r="CX77">
        <f t="shared" si="40"/>
        <v>0</v>
      </c>
      <c r="CY77">
        <f t="shared" si="41"/>
        <v>20674.005000000001</v>
      </c>
      <c r="CZ77">
        <f t="shared" si="42"/>
        <v>12968.2395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1005</v>
      </c>
      <c r="DV77" t="s">
        <v>107</v>
      </c>
      <c r="DW77" t="s">
        <v>107</v>
      </c>
      <c r="DX77">
        <v>100</v>
      </c>
      <c r="DZ77" t="s">
        <v>3</v>
      </c>
      <c r="EA77" t="s">
        <v>3</v>
      </c>
      <c r="EB77" t="s">
        <v>3</v>
      </c>
      <c r="EC77" t="s">
        <v>3</v>
      </c>
      <c r="EE77">
        <v>64851000</v>
      </c>
      <c r="EF77">
        <v>2</v>
      </c>
      <c r="EG77" t="s">
        <v>80</v>
      </c>
      <c r="EH77">
        <v>8</v>
      </c>
      <c r="EI77" t="s">
        <v>131</v>
      </c>
      <c r="EJ77">
        <v>1</v>
      </c>
      <c r="EK77">
        <v>8001</v>
      </c>
      <c r="EL77" t="s">
        <v>131</v>
      </c>
      <c r="EM77" t="s">
        <v>132</v>
      </c>
      <c r="EO77" t="s">
        <v>3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46.8</v>
      </c>
      <c r="EX77">
        <v>0.55000000000000004</v>
      </c>
      <c r="EY77">
        <v>0</v>
      </c>
      <c r="FQ77">
        <v>0</v>
      </c>
      <c r="FR77">
        <f t="shared" si="43"/>
        <v>0</v>
      </c>
      <c r="FS77">
        <v>0</v>
      </c>
      <c r="FX77">
        <v>110</v>
      </c>
      <c r="FY77">
        <v>69</v>
      </c>
      <c r="GA77" t="s">
        <v>3</v>
      </c>
      <c r="GD77">
        <v>1</v>
      </c>
      <c r="GF77">
        <v>-1445300354</v>
      </c>
      <c r="GG77">
        <v>2</v>
      </c>
      <c r="GH77">
        <v>1</v>
      </c>
      <c r="GI77">
        <v>-2</v>
      </c>
      <c r="GJ77">
        <v>0</v>
      </c>
      <c r="GK77">
        <v>0</v>
      </c>
      <c r="GL77">
        <f t="shared" si="44"/>
        <v>0</v>
      </c>
      <c r="GM77">
        <f t="shared" si="45"/>
        <v>54355.22</v>
      </c>
      <c r="GN77">
        <f t="shared" si="46"/>
        <v>54355.22</v>
      </c>
      <c r="GO77">
        <f t="shared" si="47"/>
        <v>0</v>
      </c>
      <c r="GP77">
        <f t="shared" si="48"/>
        <v>0</v>
      </c>
      <c r="GR77">
        <v>0</v>
      </c>
      <c r="GS77">
        <v>0</v>
      </c>
      <c r="GT77">
        <v>0</v>
      </c>
      <c r="GU77" t="s">
        <v>3</v>
      </c>
      <c r="GV77">
        <f t="shared" si="49"/>
        <v>0</v>
      </c>
      <c r="GW77">
        <v>1</v>
      </c>
      <c r="GX77">
        <f t="shared" si="50"/>
        <v>0</v>
      </c>
      <c r="HA77">
        <v>0</v>
      </c>
      <c r="HB77">
        <v>0</v>
      </c>
      <c r="HC77">
        <f t="shared" si="51"/>
        <v>0</v>
      </c>
      <c r="HE77" t="s">
        <v>3</v>
      </c>
      <c r="HF77" t="s">
        <v>3</v>
      </c>
      <c r="HM77" t="s">
        <v>3</v>
      </c>
      <c r="HN77" t="s">
        <v>133</v>
      </c>
      <c r="HO77" t="s">
        <v>134</v>
      </c>
      <c r="HP77" t="s">
        <v>131</v>
      </c>
      <c r="HQ77" t="s">
        <v>131</v>
      </c>
      <c r="IK77">
        <v>0</v>
      </c>
    </row>
    <row r="78" spans="1:245" x14ac:dyDescent="0.2">
      <c r="A78">
        <v>17</v>
      </c>
      <c r="B78">
        <v>1</v>
      </c>
      <c r="C78">
        <f>ROW(SmtRes!A110)</f>
        <v>110</v>
      </c>
      <c r="D78">
        <f>ROW(EtalonRes!A105)</f>
        <v>105</v>
      </c>
      <c r="E78" t="s">
        <v>167</v>
      </c>
      <c r="F78" t="s">
        <v>168</v>
      </c>
      <c r="G78" t="s">
        <v>169</v>
      </c>
      <c r="H78" t="s">
        <v>107</v>
      </c>
      <c r="I78">
        <f>ROUND(3.125/100,7)</f>
        <v>3.125E-2</v>
      </c>
      <c r="J78">
        <v>0</v>
      </c>
      <c r="K78">
        <f>ROUND(3.125/100,7)</f>
        <v>3.125E-2</v>
      </c>
      <c r="O78">
        <f t="shared" si="30"/>
        <v>217.22</v>
      </c>
      <c r="P78">
        <f>SUMIF(SmtRes!AQ104:'SmtRes'!AQ110,"=1",SmtRes!DF104:'SmtRes'!DF110)</f>
        <v>89.149999999999991</v>
      </c>
      <c r="Q78">
        <f>SUMIF(SmtRes!AQ104:'SmtRes'!AQ110,"=1",SmtRes!DG104:'SmtRes'!DG110)</f>
        <v>0.85</v>
      </c>
      <c r="R78">
        <f>SUMIF(SmtRes!AQ104:'SmtRes'!AQ110,"=1",SmtRes!DH104:'SmtRes'!DH110)</f>
        <v>0.49</v>
      </c>
      <c r="S78">
        <f>SUMIF(SmtRes!AQ104:'SmtRes'!AQ110,"=1",SmtRes!DI104:'SmtRes'!DI110)</f>
        <v>126.73</v>
      </c>
      <c r="T78">
        <f t="shared" si="31"/>
        <v>0</v>
      </c>
      <c r="U78">
        <f>SUMIF(SmtRes!AQ104:'SmtRes'!AQ110,"=1",SmtRes!CV104:'SmtRes'!CV110)</f>
        <v>0.28375</v>
      </c>
      <c r="V78">
        <f>SUMIF(SmtRes!AQ104:'SmtRes'!AQ110,"=1",SmtRes!CW104:'SmtRes'!CW110)</f>
        <v>9.3749999999999997E-4</v>
      </c>
      <c r="W78">
        <f t="shared" si="32"/>
        <v>0</v>
      </c>
      <c r="X78">
        <f t="shared" si="33"/>
        <v>119.59</v>
      </c>
      <c r="Y78">
        <f t="shared" si="34"/>
        <v>64.88</v>
      </c>
      <c r="AA78">
        <v>65170852</v>
      </c>
      <c r="AB78">
        <f t="shared" si="35"/>
        <v>6300.2681000000002</v>
      </c>
      <c r="AC78">
        <f>ROUND((SUM(SmtRes!BQ104:'SmtRes'!BQ110)),6)</f>
        <v>2219.75</v>
      </c>
      <c r="AD78">
        <f>ROUND((((SUM(SmtRes!BR104:'SmtRes'!BR110))-(SUM(SmtRes!BS104:'SmtRes'!BS110)))+AE78),6)</f>
        <v>25.208500000000001</v>
      </c>
      <c r="AE78">
        <f>ROUND((SUM(SmtRes!BS104:'SmtRes'!BS110)),6)</f>
        <v>15.448600000000001</v>
      </c>
      <c r="AF78">
        <f>ROUND((SUM(SmtRes!BT104:'SmtRes'!BT110)),6)</f>
        <v>4055.3096</v>
      </c>
      <c r="AG78">
        <f t="shared" si="36"/>
        <v>0</v>
      </c>
      <c r="AH78">
        <f>(SUM(SmtRes!BU104:'SmtRes'!BU110))</f>
        <v>9.08</v>
      </c>
      <c r="AI78">
        <f>(SUM(SmtRes!BV104:'SmtRes'!BV110))</f>
        <v>0.03</v>
      </c>
      <c r="AJ78">
        <f t="shared" si="37"/>
        <v>0</v>
      </c>
      <c r="AK78">
        <v>6315.7166999999999</v>
      </c>
      <c r="AL78">
        <v>2219.75</v>
      </c>
      <c r="AM78">
        <v>25.208500000000001</v>
      </c>
      <c r="AN78">
        <v>15.448599999999999</v>
      </c>
      <c r="AO78">
        <v>4055.3096</v>
      </c>
      <c r="AP78">
        <v>0</v>
      </c>
      <c r="AQ78">
        <v>9.08</v>
      </c>
      <c r="AR78">
        <v>0.03</v>
      </c>
      <c r="AS78">
        <v>0</v>
      </c>
      <c r="AT78">
        <v>94</v>
      </c>
      <c r="AU78">
        <v>51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1</v>
      </c>
      <c r="BJ78" t="s">
        <v>170</v>
      </c>
      <c r="BM78">
        <v>13001</v>
      </c>
      <c r="BN78">
        <v>0</v>
      </c>
      <c r="BO78" t="s">
        <v>3</v>
      </c>
      <c r="BP78">
        <v>0</v>
      </c>
      <c r="BQ78">
        <v>2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94</v>
      </c>
      <c r="CA78">
        <v>51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38"/>
        <v>217.22</v>
      </c>
      <c r="CQ78">
        <f>SUMIF(SmtRes!AQ104:'SmtRes'!AQ110,"=1",SmtRes!AA104:'SmtRes'!AA110)</f>
        <v>154.94999999999999</v>
      </c>
      <c r="CR78">
        <f>SUMIF(SmtRes!AQ104:'SmtRes'!AQ110,"=1",SmtRes!AB104:'SmtRes'!AB110)</f>
        <v>2145.67</v>
      </c>
      <c r="CS78">
        <f>SUMIF(SmtRes!AQ104:'SmtRes'!AQ110,"=1",SmtRes!AC104:'SmtRes'!AC110)</f>
        <v>1054.31</v>
      </c>
      <c r="CT78">
        <f>SUMIF(SmtRes!AQ104:'SmtRes'!AQ110,"=1",SmtRes!AD104:'SmtRes'!AD110)</f>
        <v>446.62</v>
      </c>
      <c r="CU78">
        <f t="shared" si="39"/>
        <v>0</v>
      </c>
      <c r="CV78">
        <f>SUMIF(SmtRes!AQ104:'SmtRes'!AQ110,"=1",SmtRes!BU104:'SmtRes'!BU110)</f>
        <v>9.08</v>
      </c>
      <c r="CW78">
        <f>SUMIF(SmtRes!AQ104:'SmtRes'!AQ110,"=1",SmtRes!BV104:'SmtRes'!BV110)</f>
        <v>0.03</v>
      </c>
      <c r="CX78">
        <f t="shared" si="40"/>
        <v>0</v>
      </c>
      <c r="CY78">
        <f t="shared" si="41"/>
        <v>119.5868</v>
      </c>
      <c r="CZ78">
        <f t="shared" si="42"/>
        <v>64.882199999999997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1005</v>
      </c>
      <c r="DV78" t="s">
        <v>107</v>
      </c>
      <c r="DW78" t="s">
        <v>107</v>
      </c>
      <c r="DX78">
        <v>100</v>
      </c>
      <c r="DZ78" t="s">
        <v>3</v>
      </c>
      <c r="EA78" t="s">
        <v>3</v>
      </c>
      <c r="EB78" t="s">
        <v>3</v>
      </c>
      <c r="EC78" t="s">
        <v>3</v>
      </c>
      <c r="EE78">
        <v>64851005</v>
      </c>
      <c r="EF78">
        <v>2</v>
      </c>
      <c r="EG78" t="s">
        <v>80</v>
      </c>
      <c r="EH78">
        <v>13</v>
      </c>
      <c r="EI78" t="s">
        <v>171</v>
      </c>
      <c r="EJ78">
        <v>1</v>
      </c>
      <c r="EK78">
        <v>13001</v>
      </c>
      <c r="EL78" t="s">
        <v>172</v>
      </c>
      <c r="EM78" t="s">
        <v>173</v>
      </c>
      <c r="EO78" t="s">
        <v>3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9.08</v>
      </c>
      <c r="EX78">
        <v>0.03</v>
      </c>
      <c r="EY78">
        <v>0</v>
      </c>
      <c r="FQ78">
        <v>0</v>
      </c>
      <c r="FR78">
        <f t="shared" si="43"/>
        <v>0</v>
      </c>
      <c r="FS78">
        <v>0</v>
      </c>
      <c r="FX78">
        <v>94</v>
      </c>
      <c r="FY78">
        <v>51</v>
      </c>
      <c r="GA78" t="s">
        <v>3</v>
      </c>
      <c r="GD78">
        <v>1</v>
      </c>
      <c r="GF78">
        <v>-1033161380</v>
      </c>
      <c r="GG78">
        <v>2</v>
      </c>
      <c r="GH78">
        <v>1</v>
      </c>
      <c r="GI78">
        <v>-2</v>
      </c>
      <c r="GJ78">
        <v>0</v>
      </c>
      <c r="GK78">
        <v>0</v>
      </c>
      <c r="GL78">
        <f t="shared" si="44"/>
        <v>0</v>
      </c>
      <c r="GM78">
        <f t="shared" si="45"/>
        <v>401.69</v>
      </c>
      <c r="GN78">
        <f t="shared" si="46"/>
        <v>401.69</v>
      </c>
      <c r="GO78">
        <f t="shared" si="47"/>
        <v>0</v>
      </c>
      <c r="GP78">
        <f t="shared" si="48"/>
        <v>0</v>
      </c>
      <c r="GR78">
        <v>0</v>
      </c>
      <c r="GS78">
        <v>0</v>
      </c>
      <c r="GT78">
        <v>0</v>
      </c>
      <c r="GU78" t="s">
        <v>3</v>
      </c>
      <c r="GV78">
        <f t="shared" si="49"/>
        <v>0</v>
      </c>
      <c r="GW78">
        <v>1</v>
      </c>
      <c r="GX78">
        <f t="shared" si="50"/>
        <v>0</v>
      </c>
      <c r="HA78">
        <v>0</v>
      </c>
      <c r="HB78">
        <v>0</v>
      </c>
      <c r="HC78">
        <f t="shared" si="51"/>
        <v>0</v>
      </c>
      <c r="HE78" t="s">
        <v>3</v>
      </c>
      <c r="HF78" t="s">
        <v>3</v>
      </c>
      <c r="HM78" t="s">
        <v>3</v>
      </c>
      <c r="HN78" t="s">
        <v>174</v>
      </c>
      <c r="HO78" t="s">
        <v>175</v>
      </c>
      <c r="HP78" t="s">
        <v>171</v>
      </c>
      <c r="HQ78" t="s">
        <v>171</v>
      </c>
      <c r="IK78">
        <v>0</v>
      </c>
    </row>
    <row r="79" spans="1:245" x14ac:dyDescent="0.2">
      <c r="A79">
        <v>17</v>
      </c>
      <c r="B79">
        <v>1</v>
      </c>
      <c r="C79">
        <f>ROW(SmtRes!A118)</f>
        <v>118</v>
      </c>
      <c r="D79">
        <f>ROW(EtalonRes!A113)</f>
        <v>113</v>
      </c>
      <c r="E79" t="s">
        <v>176</v>
      </c>
      <c r="F79" t="s">
        <v>177</v>
      </c>
      <c r="G79" t="s">
        <v>178</v>
      </c>
      <c r="H79" t="s">
        <v>107</v>
      </c>
      <c r="I79">
        <f>ROUND(55.55/100,7)</f>
        <v>0.55549999999999999</v>
      </c>
      <c r="J79">
        <v>0</v>
      </c>
      <c r="K79">
        <f>ROUND(55.55/100,7)</f>
        <v>0.55549999999999999</v>
      </c>
      <c r="O79">
        <f t="shared" si="30"/>
        <v>2079.44</v>
      </c>
      <c r="P79">
        <f>SUMIF(SmtRes!AQ111:'SmtRes'!AQ118,"=1",SmtRes!DF111:'SmtRes'!DF118)</f>
        <v>459.75</v>
      </c>
      <c r="Q79">
        <f>SUMIF(SmtRes!AQ111:'SmtRes'!AQ118,"=1",SmtRes!DG111:'SmtRes'!DG118)</f>
        <v>15.680000000000001</v>
      </c>
      <c r="R79">
        <f>SUMIF(SmtRes!AQ111:'SmtRes'!AQ118,"=1",SmtRes!DH111:'SmtRes'!DH118)</f>
        <v>5.8599999999999994</v>
      </c>
      <c r="S79">
        <f>SUMIF(SmtRes!AQ111:'SmtRes'!AQ118,"=1",SmtRes!DI111:'SmtRes'!DI118)</f>
        <v>1598.15</v>
      </c>
      <c r="T79">
        <f t="shared" si="31"/>
        <v>0</v>
      </c>
      <c r="U79">
        <f>SUMIF(SmtRes!AQ111:'SmtRes'!AQ118,"=1",SmtRes!CV111:'SmtRes'!CV118)</f>
        <v>2.9497049999999998</v>
      </c>
      <c r="V79">
        <f>SUMIF(SmtRes!AQ111:'SmtRes'!AQ118,"=1",SmtRes!CW111:'SmtRes'!CW118)</f>
        <v>1.111E-2</v>
      </c>
      <c r="W79">
        <f t="shared" si="32"/>
        <v>0</v>
      </c>
      <c r="X79">
        <f t="shared" si="33"/>
        <v>1507.77</v>
      </c>
      <c r="Y79">
        <f t="shared" si="34"/>
        <v>818.05</v>
      </c>
      <c r="AA79">
        <v>65170852</v>
      </c>
      <c r="AB79">
        <f t="shared" si="35"/>
        <v>3479.5018949999999</v>
      </c>
      <c r="AC79">
        <f>ROUND((SUM(SmtRes!BQ111:'SmtRes'!BQ118)),6)</f>
        <v>575.34979499999997</v>
      </c>
      <c r="AD79">
        <f>ROUND((((SUM(SmtRes!BR111:'SmtRes'!BR118))-(SUM(SmtRes!BS111:'SmtRes'!BS118)))+AE79),6)</f>
        <v>27.194099999999999</v>
      </c>
      <c r="AE79">
        <f>ROUND((SUM(SmtRes!BS111:'SmtRes'!BS118)),6)</f>
        <v>10.543100000000001</v>
      </c>
      <c r="AF79">
        <f>ROUND((SUM(SmtRes!BT111:'SmtRes'!BT118)),6)</f>
        <v>2876.9580000000001</v>
      </c>
      <c r="AG79">
        <f t="shared" si="36"/>
        <v>0</v>
      </c>
      <c r="AH79">
        <f>(SUM(SmtRes!BU111:'SmtRes'!BU118))</f>
        <v>5.31</v>
      </c>
      <c r="AI79">
        <f>(SUM(SmtRes!BV111:'SmtRes'!BV118))</f>
        <v>0.02</v>
      </c>
      <c r="AJ79">
        <f t="shared" si="37"/>
        <v>0</v>
      </c>
      <c r="AK79">
        <v>3490.0449949999993</v>
      </c>
      <c r="AL79">
        <v>575.34979499999997</v>
      </c>
      <c r="AM79">
        <v>27.194100000000002</v>
      </c>
      <c r="AN79">
        <v>10.543099999999999</v>
      </c>
      <c r="AO79">
        <v>2876.9579999999996</v>
      </c>
      <c r="AP79">
        <v>0</v>
      </c>
      <c r="AQ79">
        <v>5.31</v>
      </c>
      <c r="AR79">
        <v>0.02</v>
      </c>
      <c r="AS79">
        <v>0</v>
      </c>
      <c r="AT79">
        <v>94</v>
      </c>
      <c r="AU79">
        <v>51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1</v>
      </c>
      <c r="BJ79" t="s">
        <v>179</v>
      </c>
      <c r="BM79">
        <v>13001</v>
      </c>
      <c r="BN79">
        <v>0</v>
      </c>
      <c r="BO79" t="s">
        <v>3</v>
      </c>
      <c r="BP79">
        <v>0</v>
      </c>
      <c r="BQ79">
        <v>2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94</v>
      </c>
      <c r="CA79">
        <v>51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38"/>
        <v>2079.44</v>
      </c>
      <c r="CQ79">
        <f>SUMIF(SmtRes!AQ111:'SmtRes'!AQ118,"=1",SmtRes!AA111:'SmtRes'!AA118)</f>
        <v>172269.37</v>
      </c>
      <c r="CR79">
        <f>SUMIF(SmtRes!AQ111:'SmtRes'!AQ118,"=1",SmtRes!AB111:'SmtRes'!AB118)</f>
        <v>2151.71</v>
      </c>
      <c r="CS79">
        <f>SUMIF(SmtRes!AQ111:'SmtRes'!AQ118,"=1",SmtRes!AC111:'SmtRes'!AC118)</f>
        <v>1054.31</v>
      </c>
      <c r="CT79">
        <f>SUMIF(SmtRes!AQ111:'SmtRes'!AQ118,"=1",SmtRes!AD111:'SmtRes'!AD118)</f>
        <v>541.79999999999995</v>
      </c>
      <c r="CU79">
        <f t="shared" si="39"/>
        <v>0</v>
      </c>
      <c r="CV79">
        <f>SUMIF(SmtRes!AQ111:'SmtRes'!AQ118,"=1",SmtRes!BU111:'SmtRes'!BU118)</f>
        <v>5.31</v>
      </c>
      <c r="CW79">
        <f>SUMIF(SmtRes!AQ111:'SmtRes'!AQ118,"=1",SmtRes!BV111:'SmtRes'!BV118)</f>
        <v>0.02</v>
      </c>
      <c r="CX79">
        <f t="shared" si="40"/>
        <v>0</v>
      </c>
      <c r="CY79">
        <f t="shared" si="41"/>
        <v>1507.7694000000001</v>
      </c>
      <c r="CZ79">
        <f t="shared" si="42"/>
        <v>818.04509999999993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1005</v>
      </c>
      <c r="DV79" t="s">
        <v>107</v>
      </c>
      <c r="DW79" t="s">
        <v>107</v>
      </c>
      <c r="DX79">
        <v>100</v>
      </c>
      <c r="DZ79" t="s">
        <v>3</v>
      </c>
      <c r="EA79" t="s">
        <v>3</v>
      </c>
      <c r="EB79" t="s">
        <v>3</v>
      </c>
      <c r="EC79" t="s">
        <v>3</v>
      </c>
      <c r="EE79">
        <v>64851005</v>
      </c>
      <c r="EF79">
        <v>2</v>
      </c>
      <c r="EG79" t="s">
        <v>80</v>
      </c>
      <c r="EH79">
        <v>13</v>
      </c>
      <c r="EI79" t="s">
        <v>171</v>
      </c>
      <c r="EJ79">
        <v>1</v>
      </c>
      <c r="EK79">
        <v>13001</v>
      </c>
      <c r="EL79" t="s">
        <v>172</v>
      </c>
      <c r="EM79" t="s">
        <v>173</v>
      </c>
      <c r="EO79" t="s">
        <v>3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5.31</v>
      </c>
      <c r="EX79">
        <v>0.02</v>
      </c>
      <c r="EY79">
        <v>0</v>
      </c>
      <c r="FQ79">
        <v>0</v>
      </c>
      <c r="FR79">
        <f t="shared" si="43"/>
        <v>0</v>
      </c>
      <c r="FS79">
        <v>0</v>
      </c>
      <c r="FX79">
        <v>94</v>
      </c>
      <c r="FY79">
        <v>51</v>
      </c>
      <c r="GA79" t="s">
        <v>3</v>
      </c>
      <c r="GD79">
        <v>1</v>
      </c>
      <c r="GF79">
        <v>-457080306</v>
      </c>
      <c r="GG79">
        <v>2</v>
      </c>
      <c r="GH79">
        <v>1</v>
      </c>
      <c r="GI79">
        <v>-2</v>
      </c>
      <c r="GJ79">
        <v>0</v>
      </c>
      <c r="GK79">
        <v>0</v>
      </c>
      <c r="GL79">
        <f t="shared" si="44"/>
        <v>0</v>
      </c>
      <c r="GM79">
        <f t="shared" si="45"/>
        <v>4405.26</v>
      </c>
      <c r="GN79">
        <f t="shared" si="46"/>
        <v>4405.26</v>
      </c>
      <c r="GO79">
        <f t="shared" si="47"/>
        <v>0</v>
      </c>
      <c r="GP79">
        <f t="shared" si="48"/>
        <v>0</v>
      </c>
      <c r="GR79">
        <v>0</v>
      </c>
      <c r="GS79">
        <v>0</v>
      </c>
      <c r="GT79">
        <v>0</v>
      </c>
      <c r="GU79" t="s">
        <v>3</v>
      </c>
      <c r="GV79">
        <f t="shared" si="49"/>
        <v>0</v>
      </c>
      <c r="GW79">
        <v>1</v>
      </c>
      <c r="GX79">
        <f t="shared" si="50"/>
        <v>0</v>
      </c>
      <c r="HA79">
        <v>0</v>
      </c>
      <c r="HB79">
        <v>0</v>
      </c>
      <c r="HC79">
        <f t="shared" si="51"/>
        <v>0</v>
      </c>
      <c r="HE79" t="s">
        <v>3</v>
      </c>
      <c r="HF79" t="s">
        <v>3</v>
      </c>
      <c r="HM79" t="s">
        <v>3</v>
      </c>
      <c r="HN79" t="s">
        <v>174</v>
      </c>
      <c r="HO79" t="s">
        <v>175</v>
      </c>
      <c r="HP79" t="s">
        <v>171</v>
      </c>
      <c r="HQ79" t="s">
        <v>171</v>
      </c>
      <c r="IK79">
        <v>0</v>
      </c>
    </row>
    <row r="80" spans="1:245" x14ac:dyDescent="0.2">
      <c r="A80">
        <v>17</v>
      </c>
      <c r="B80">
        <v>1</v>
      </c>
      <c r="C80">
        <f>ROW(SmtRes!A126)</f>
        <v>126</v>
      </c>
      <c r="D80">
        <f>ROW(EtalonRes!A121)</f>
        <v>121</v>
      </c>
      <c r="E80" t="s">
        <v>180</v>
      </c>
      <c r="F80" t="s">
        <v>181</v>
      </c>
      <c r="G80" t="s">
        <v>182</v>
      </c>
      <c r="H80" t="s">
        <v>107</v>
      </c>
      <c r="I80">
        <f>ROUND(55.55/100,7)</f>
        <v>0.55549999999999999</v>
      </c>
      <c r="J80">
        <v>0</v>
      </c>
      <c r="K80">
        <f>ROUND(55.55/100,7)</f>
        <v>0.55549999999999999</v>
      </c>
      <c r="O80">
        <f t="shared" si="30"/>
        <v>1141.0899999999999</v>
      </c>
      <c r="P80">
        <f>SUMIF(SmtRes!AQ119:'SmtRes'!AQ126,"=1",SmtRes!DF119:'SmtRes'!DF126)</f>
        <v>573.19000000000005</v>
      </c>
      <c r="Q80">
        <f>SUMIF(SmtRes!AQ119:'SmtRes'!AQ126,"=1",SmtRes!DG119:'SmtRes'!DG126)</f>
        <v>14.100000000000001</v>
      </c>
      <c r="R80">
        <f>SUMIF(SmtRes!AQ119:'SmtRes'!AQ126,"=1",SmtRes!DH119:'SmtRes'!DH126)</f>
        <v>5.8599999999999994</v>
      </c>
      <c r="S80">
        <f>SUMIF(SmtRes!AQ119:'SmtRes'!AQ126,"=1",SmtRes!DI119:'SmtRes'!DI126)</f>
        <v>547.94000000000005</v>
      </c>
      <c r="T80">
        <f t="shared" si="31"/>
        <v>0</v>
      </c>
      <c r="U80">
        <f>SUMIF(SmtRes!AQ119:'SmtRes'!AQ126,"=1",SmtRes!CV119:'SmtRes'!CV126)</f>
        <v>1.1832149999999999</v>
      </c>
      <c r="V80">
        <f>SUMIF(SmtRes!AQ119:'SmtRes'!AQ126,"=1",SmtRes!CW119:'SmtRes'!CW126)</f>
        <v>1.111E-2</v>
      </c>
      <c r="W80">
        <f t="shared" si="32"/>
        <v>0</v>
      </c>
      <c r="X80">
        <f t="shared" si="33"/>
        <v>520.57000000000005</v>
      </c>
      <c r="Y80">
        <f t="shared" si="34"/>
        <v>282.44</v>
      </c>
      <c r="AA80">
        <v>65170852</v>
      </c>
      <c r="AB80">
        <f t="shared" si="35"/>
        <v>1635.98515</v>
      </c>
      <c r="AC80">
        <f>ROUND((SUM(SmtRes!BQ119:'SmtRes'!BQ126)),6)</f>
        <v>625.24815000000001</v>
      </c>
      <c r="AD80">
        <f>ROUND((((SUM(SmtRes!BR119:'SmtRes'!BR126))-(SUM(SmtRes!BS119:'SmtRes'!BS126)))+AE80),6)</f>
        <v>24.3553</v>
      </c>
      <c r="AE80">
        <f>ROUND((SUM(SmtRes!BS119:'SmtRes'!BS126)),6)</f>
        <v>10.543100000000001</v>
      </c>
      <c r="AF80">
        <f>ROUND((SUM(SmtRes!BT119:'SmtRes'!BT126)),6)</f>
        <v>986.38170000000002</v>
      </c>
      <c r="AG80">
        <f t="shared" si="36"/>
        <v>0</v>
      </c>
      <c r="AH80">
        <f>(SUM(SmtRes!BU119:'SmtRes'!BU126))</f>
        <v>2.13</v>
      </c>
      <c r="AI80">
        <f>(SUM(SmtRes!BV119:'SmtRes'!BV126))</f>
        <v>0.02</v>
      </c>
      <c r="AJ80">
        <f t="shared" si="37"/>
        <v>0</v>
      </c>
      <c r="AK80">
        <v>1646.5282500000001</v>
      </c>
      <c r="AL80">
        <v>625.24815000000001</v>
      </c>
      <c r="AM80">
        <v>24.3553</v>
      </c>
      <c r="AN80">
        <v>10.543099999999999</v>
      </c>
      <c r="AO80">
        <v>986.38169999999991</v>
      </c>
      <c r="AP80">
        <v>0</v>
      </c>
      <c r="AQ80">
        <v>2.13</v>
      </c>
      <c r="AR80">
        <v>0.02</v>
      </c>
      <c r="AS80">
        <v>0</v>
      </c>
      <c r="AT80">
        <v>94</v>
      </c>
      <c r="AU80">
        <v>51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1</v>
      </c>
      <c r="BJ80" t="s">
        <v>183</v>
      </c>
      <c r="BM80">
        <v>13001</v>
      </c>
      <c r="BN80">
        <v>0</v>
      </c>
      <c r="BO80" t="s">
        <v>3</v>
      </c>
      <c r="BP80">
        <v>0</v>
      </c>
      <c r="BQ80">
        <v>2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94</v>
      </c>
      <c r="CA80">
        <v>51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38"/>
        <v>1141.0899999999999</v>
      </c>
      <c r="CQ80">
        <f>SUMIF(SmtRes!AQ119:'SmtRes'!AQ126,"=1",SmtRes!AA119:'SmtRes'!AA126)</f>
        <v>102754.51000000001</v>
      </c>
      <c r="CR80">
        <f>SUMIF(SmtRes!AQ119:'SmtRes'!AQ126,"=1",SmtRes!AB119:'SmtRes'!AB126)</f>
        <v>2151.71</v>
      </c>
      <c r="CS80">
        <f>SUMIF(SmtRes!AQ119:'SmtRes'!AQ126,"=1",SmtRes!AC119:'SmtRes'!AC126)</f>
        <v>1054.31</v>
      </c>
      <c r="CT80">
        <f>SUMIF(SmtRes!AQ119:'SmtRes'!AQ126,"=1",SmtRes!AD119:'SmtRes'!AD126)</f>
        <v>463.09</v>
      </c>
      <c r="CU80">
        <f t="shared" si="39"/>
        <v>0</v>
      </c>
      <c r="CV80">
        <f>SUMIF(SmtRes!AQ119:'SmtRes'!AQ126,"=1",SmtRes!BU119:'SmtRes'!BU126)</f>
        <v>2.13</v>
      </c>
      <c r="CW80">
        <f>SUMIF(SmtRes!AQ119:'SmtRes'!AQ126,"=1",SmtRes!BV119:'SmtRes'!BV126)</f>
        <v>0.02</v>
      </c>
      <c r="CX80">
        <f t="shared" si="40"/>
        <v>0</v>
      </c>
      <c r="CY80">
        <f t="shared" si="41"/>
        <v>520.572</v>
      </c>
      <c r="CZ80">
        <f t="shared" si="42"/>
        <v>282.43800000000005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1005</v>
      </c>
      <c r="DV80" t="s">
        <v>107</v>
      </c>
      <c r="DW80" t="s">
        <v>107</v>
      </c>
      <c r="DX80">
        <v>100</v>
      </c>
      <c r="DZ80" t="s">
        <v>3</v>
      </c>
      <c r="EA80" t="s">
        <v>3</v>
      </c>
      <c r="EB80" t="s">
        <v>3</v>
      </c>
      <c r="EC80" t="s">
        <v>3</v>
      </c>
      <c r="EE80">
        <v>64851005</v>
      </c>
      <c r="EF80">
        <v>2</v>
      </c>
      <c r="EG80" t="s">
        <v>80</v>
      </c>
      <c r="EH80">
        <v>13</v>
      </c>
      <c r="EI80" t="s">
        <v>171</v>
      </c>
      <c r="EJ80">
        <v>1</v>
      </c>
      <c r="EK80">
        <v>13001</v>
      </c>
      <c r="EL80" t="s">
        <v>172</v>
      </c>
      <c r="EM80" t="s">
        <v>173</v>
      </c>
      <c r="EO80" t="s">
        <v>3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2.13</v>
      </c>
      <c r="EX80">
        <v>0.02</v>
      </c>
      <c r="EY80">
        <v>0</v>
      </c>
      <c r="FQ80">
        <v>0</v>
      </c>
      <c r="FR80">
        <f t="shared" si="43"/>
        <v>0</v>
      </c>
      <c r="FS80">
        <v>0</v>
      </c>
      <c r="FX80">
        <v>94</v>
      </c>
      <c r="FY80">
        <v>51</v>
      </c>
      <c r="GA80" t="s">
        <v>3</v>
      </c>
      <c r="GD80">
        <v>1</v>
      </c>
      <c r="GF80">
        <v>-90517942</v>
      </c>
      <c r="GG80">
        <v>2</v>
      </c>
      <c r="GH80">
        <v>1</v>
      </c>
      <c r="GI80">
        <v>-2</v>
      </c>
      <c r="GJ80">
        <v>0</v>
      </c>
      <c r="GK80">
        <v>0</v>
      </c>
      <c r="GL80">
        <f t="shared" si="44"/>
        <v>0</v>
      </c>
      <c r="GM80">
        <f t="shared" si="45"/>
        <v>1944.1</v>
      </c>
      <c r="GN80">
        <f t="shared" si="46"/>
        <v>1944.1</v>
      </c>
      <c r="GO80">
        <f t="shared" si="47"/>
        <v>0</v>
      </c>
      <c r="GP80">
        <f t="shared" si="48"/>
        <v>0</v>
      </c>
      <c r="GR80">
        <v>0</v>
      </c>
      <c r="GS80">
        <v>0</v>
      </c>
      <c r="GT80">
        <v>0</v>
      </c>
      <c r="GU80" t="s">
        <v>3</v>
      </c>
      <c r="GV80">
        <f t="shared" si="49"/>
        <v>0</v>
      </c>
      <c r="GW80">
        <v>1</v>
      </c>
      <c r="GX80">
        <f t="shared" si="50"/>
        <v>0</v>
      </c>
      <c r="HA80">
        <v>0</v>
      </c>
      <c r="HB80">
        <v>0</v>
      </c>
      <c r="HC80">
        <f t="shared" si="51"/>
        <v>0</v>
      </c>
      <c r="HE80" t="s">
        <v>3</v>
      </c>
      <c r="HF80" t="s">
        <v>3</v>
      </c>
      <c r="HM80" t="s">
        <v>3</v>
      </c>
      <c r="HN80" t="s">
        <v>174</v>
      </c>
      <c r="HO80" t="s">
        <v>175</v>
      </c>
      <c r="HP80" t="s">
        <v>171</v>
      </c>
      <c r="HQ80" t="s">
        <v>171</v>
      </c>
      <c r="IK80">
        <v>0</v>
      </c>
    </row>
    <row r="81" spans="1:245" x14ac:dyDescent="0.2">
      <c r="A81">
        <v>17</v>
      </c>
      <c r="B81">
        <v>1</v>
      </c>
      <c r="C81">
        <f>ROW(SmtRes!A129)</f>
        <v>129</v>
      </c>
      <c r="D81">
        <f>ROW(EtalonRes!A124)</f>
        <v>124</v>
      </c>
      <c r="E81" t="s">
        <v>184</v>
      </c>
      <c r="F81" t="s">
        <v>185</v>
      </c>
      <c r="G81" t="s">
        <v>186</v>
      </c>
      <c r="H81" t="s">
        <v>116</v>
      </c>
      <c r="I81">
        <f>ROUND(4/100,7)</f>
        <v>0.04</v>
      </c>
      <c r="J81">
        <v>0</v>
      </c>
      <c r="K81">
        <f>ROUND(4/100,7)</f>
        <v>0.04</v>
      </c>
      <c r="O81">
        <f t="shared" si="30"/>
        <v>3416.15</v>
      </c>
      <c r="P81">
        <f>SUMIF(SmtRes!AQ127:'SmtRes'!AQ129,"=1",SmtRes!DF127:'SmtRes'!DF129)</f>
        <v>0</v>
      </c>
      <c r="Q81">
        <f>SUMIF(SmtRes!AQ127:'SmtRes'!AQ129,"=1",SmtRes!DG127:'SmtRes'!DG129)</f>
        <v>1354.77</v>
      </c>
      <c r="R81">
        <f>SUMIF(SmtRes!AQ127:'SmtRes'!AQ129,"=1",SmtRes!DH127:'SmtRes'!DH129)</f>
        <v>824.12</v>
      </c>
      <c r="S81">
        <f>SUMIF(SmtRes!AQ127:'SmtRes'!AQ129,"=1",SmtRes!DI127:'SmtRes'!DI129)</f>
        <v>1237.26</v>
      </c>
      <c r="T81">
        <f t="shared" si="31"/>
        <v>0</v>
      </c>
      <c r="U81">
        <f>SUMIF(SmtRes!AQ127:'SmtRes'!AQ129,"=1",SmtRes!CV127:'SmtRes'!CV129)</f>
        <v>3.32</v>
      </c>
      <c r="V81">
        <f>SUMIF(SmtRes!AQ127:'SmtRes'!AQ129,"=1",SmtRes!CW127:'SmtRes'!CW129)</f>
        <v>1.68</v>
      </c>
      <c r="W81">
        <f t="shared" si="32"/>
        <v>0</v>
      </c>
      <c r="X81">
        <f t="shared" si="33"/>
        <v>1793.4</v>
      </c>
      <c r="Y81">
        <f t="shared" si="34"/>
        <v>824.55</v>
      </c>
      <c r="AA81">
        <v>65170852</v>
      </c>
      <c r="AB81">
        <f t="shared" si="35"/>
        <v>56590.25</v>
      </c>
      <c r="AC81">
        <f>ROUND((0),6)</f>
        <v>0</v>
      </c>
      <c r="AD81">
        <f>ROUND((((SUM(SmtRes!BR127:'SmtRes'!BR129))-(SUM(SmtRes!BS127:'SmtRes'!BS129)))+AE81),6)</f>
        <v>25658.639999999999</v>
      </c>
      <c r="AE81">
        <f>ROUND((SUM(SmtRes!BS127:'SmtRes'!BS129)),6)</f>
        <v>20603.099999999999</v>
      </c>
      <c r="AF81">
        <f>ROUND((SUM(SmtRes!BT127:'SmtRes'!BT129)),6)</f>
        <v>30931.61</v>
      </c>
      <c r="AG81">
        <f t="shared" si="36"/>
        <v>0</v>
      </c>
      <c r="AH81">
        <f>(SUM(SmtRes!BU127:'SmtRes'!BU129))</f>
        <v>83</v>
      </c>
      <c r="AI81">
        <f>(SUM(SmtRes!BV127:'SmtRes'!BV129))</f>
        <v>42</v>
      </c>
      <c r="AJ81">
        <f t="shared" si="37"/>
        <v>0</v>
      </c>
      <c r="AK81">
        <v>77193.350000000006</v>
      </c>
      <c r="AL81">
        <v>0</v>
      </c>
      <c r="AM81">
        <v>25658.639999999999</v>
      </c>
      <c r="AN81">
        <v>20603.100000000002</v>
      </c>
      <c r="AO81">
        <v>30931.61</v>
      </c>
      <c r="AP81">
        <v>0</v>
      </c>
      <c r="AQ81">
        <v>83</v>
      </c>
      <c r="AR81">
        <v>42</v>
      </c>
      <c r="AS81">
        <v>0</v>
      </c>
      <c r="AT81">
        <v>87</v>
      </c>
      <c r="AU81">
        <v>40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1</v>
      </c>
      <c r="BJ81" t="s">
        <v>187</v>
      </c>
      <c r="BM81">
        <v>51002</v>
      </c>
      <c r="BN81">
        <v>0</v>
      </c>
      <c r="BO81" t="s">
        <v>3</v>
      </c>
      <c r="BP81">
        <v>0</v>
      </c>
      <c r="BQ81">
        <v>6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87</v>
      </c>
      <c r="CA81">
        <v>40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38"/>
        <v>3416.1499999999996</v>
      </c>
      <c r="CQ81">
        <f>SUMIF(SmtRes!AQ127:'SmtRes'!AQ129,"=1",SmtRes!AA127:'SmtRes'!AA129)</f>
        <v>0</v>
      </c>
      <c r="CR81">
        <f>SUMIF(SmtRes!AQ127:'SmtRes'!AQ129,"=1",SmtRes!AB127:'SmtRes'!AB129)</f>
        <v>806.41</v>
      </c>
      <c r="CS81">
        <f>SUMIF(SmtRes!AQ127:'SmtRes'!AQ129,"=1",SmtRes!AC127:'SmtRes'!AC129)</f>
        <v>490.55</v>
      </c>
      <c r="CT81">
        <f>SUMIF(SmtRes!AQ127:'SmtRes'!AQ129,"=1",SmtRes!AD127:'SmtRes'!AD129)</f>
        <v>372.67</v>
      </c>
      <c r="CU81">
        <f t="shared" si="39"/>
        <v>0</v>
      </c>
      <c r="CV81">
        <f>SUMIF(SmtRes!AQ127:'SmtRes'!AQ129,"=1",SmtRes!BU127:'SmtRes'!BU129)</f>
        <v>83</v>
      </c>
      <c r="CW81">
        <f>SUMIF(SmtRes!AQ127:'SmtRes'!AQ129,"=1",SmtRes!BV127:'SmtRes'!BV129)</f>
        <v>42</v>
      </c>
      <c r="CX81">
        <f t="shared" si="40"/>
        <v>0</v>
      </c>
      <c r="CY81">
        <f t="shared" si="41"/>
        <v>1793.4005999999999</v>
      </c>
      <c r="CZ81">
        <f t="shared" si="42"/>
        <v>824.55200000000013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1007</v>
      </c>
      <c r="DV81" t="s">
        <v>116</v>
      </c>
      <c r="DW81" t="s">
        <v>116</v>
      </c>
      <c r="DX81">
        <v>100</v>
      </c>
      <c r="DZ81" t="s">
        <v>3</v>
      </c>
      <c r="EA81" t="s">
        <v>3</v>
      </c>
      <c r="EB81" t="s">
        <v>3</v>
      </c>
      <c r="EC81" t="s">
        <v>3</v>
      </c>
      <c r="EE81">
        <v>64851074</v>
      </c>
      <c r="EF81">
        <v>6</v>
      </c>
      <c r="EG81" t="s">
        <v>188</v>
      </c>
      <c r="EH81">
        <v>1</v>
      </c>
      <c r="EI81" t="s">
        <v>120</v>
      </c>
      <c r="EJ81">
        <v>1</v>
      </c>
      <c r="EK81">
        <v>51002</v>
      </c>
      <c r="EL81" t="s">
        <v>189</v>
      </c>
      <c r="EM81" t="s">
        <v>190</v>
      </c>
      <c r="EO81" t="s">
        <v>3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83</v>
      </c>
      <c r="EX81">
        <v>42</v>
      </c>
      <c r="EY81">
        <v>0</v>
      </c>
      <c r="FQ81">
        <v>0</v>
      </c>
      <c r="FR81">
        <f t="shared" si="43"/>
        <v>0</v>
      </c>
      <c r="FS81">
        <v>0</v>
      </c>
      <c r="FX81">
        <v>87</v>
      </c>
      <c r="FY81">
        <v>40</v>
      </c>
      <c r="GA81" t="s">
        <v>3</v>
      </c>
      <c r="GD81">
        <v>1</v>
      </c>
      <c r="GF81">
        <v>-164680894</v>
      </c>
      <c r="GG81">
        <v>2</v>
      </c>
      <c r="GH81">
        <v>1</v>
      </c>
      <c r="GI81">
        <v>-2</v>
      </c>
      <c r="GJ81">
        <v>0</v>
      </c>
      <c r="GK81">
        <v>0</v>
      </c>
      <c r="GL81">
        <f t="shared" si="44"/>
        <v>0</v>
      </c>
      <c r="GM81">
        <f t="shared" si="45"/>
        <v>6034.1</v>
      </c>
      <c r="GN81">
        <f t="shared" si="46"/>
        <v>6034.1</v>
      </c>
      <c r="GO81">
        <f t="shared" si="47"/>
        <v>0</v>
      </c>
      <c r="GP81">
        <f t="shared" si="48"/>
        <v>0</v>
      </c>
      <c r="GR81">
        <v>0</v>
      </c>
      <c r="GS81">
        <v>0</v>
      </c>
      <c r="GT81">
        <v>0</v>
      </c>
      <c r="GU81" t="s">
        <v>3</v>
      </c>
      <c r="GV81">
        <f t="shared" si="49"/>
        <v>0</v>
      </c>
      <c r="GW81">
        <v>1</v>
      </c>
      <c r="GX81">
        <f t="shared" si="50"/>
        <v>0</v>
      </c>
      <c r="HA81">
        <v>0</v>
      </c>
      <c r="HB81">
        <v>0</v>
      </c>
      <c r="HC81">
        <f t="shared" si="51"/>
        <v>0</v>
      </c>
      <c r="HE81" t="s">
        <v>3</v>
      </c>
      <c r="HF81" t="s">
        <v>3</v>
      </c>
      <c r="HM81" t="s">
        <v>3</v>
      </c>
      <c r="HN81" t="s">
        <v>191</v>
      </c>
      <c r="HO81" t="s">
        <v>192</v>
      </c>
      <c r="HP81" t="s">
        <v>193</v>
      </c>
      <c r="HQ81" t="s">
        <v>193</v>
      </c>
      <c r="IK81">
        <v>0</v>
      </c>
    </row>
    <row r="82" spans="1:245" x14ac:dyDescent="0.2">
      <c r="A82">
        <v>17</v>
      </c>
      <c r="B82">
        <v>1</v>
      </c>
      <c r="E82" t="s">
        <v>194</v>
      </c>
      <c r="F82" t="s">
        <v>195</v>
      </c>
      <c r="G82" t="s">
        <v>196</v>
      </c>
      <c r="H82" t="s">
        <v>197</v>
      </c>
      <c r="I82">
        <v>7</v>
      </c>
      <c r="J82">
        <v>0</v>
      </c>
      <c r="K82">
        <v>7</v>
      </c>
      <c r="O82">
        <f t="shared" si="30"/>
        <v>0</v>
      </c>
      <c r="P82">
        <f>0</f>
        <v>0</v>
      </c>
      <c r="Q82">
        <f>0</f>
        <v>0</v>
      </c>
      <c r="R82">
        <f>0</f>
        <v>0</v>
      </c>
      <c r="S82">
        <f>0</f>
        <v>0</v>
      </c>
      <c r="T82">
        <f t="shared" si="31"/>
        <v>0</v>
      </c>
      <c r="U82">
        <f>0</f>
        <v>0</v>
      </c>
      <c r="V82">
        <f>0</f>
        <v>0</v>
      </c>
      <c r="W82">
        <f t="shared" si="32"/>
        <v>0</v>
      </c>
      <c r="X82">
        <f t="shared" si="33"/>
        <v>0</v>
      </c>
      <c r="Y82">
        <f t="shared" si="34"/>
        <v>0</v>
      </c>
      <c r="AA82">
        <v>65170852</v>
      </c>
      <c r="AB82">
        <f t="shared" si="35"/>
        <v>0</v>
      </c>
      <c r="AC82">
        <f>ROUND((0),6)</f>
        <v>0</v>
      </c>
      <c r="AD82">
        <f>ROUND((0),6)</f>
        <v>0</v>
      </c>
      <c r="AE82">
        <f>ROUND((0),6)</f>
        <v>0</v>
      </c>
      <c r="AF82">
        <f>ROUND((0),6)</f>
        <v>0</v>
      </c>
      <c r="AG82">
        <f t="shared" si="36"/>
        <v>0</v>
      </c>
      <c r="AH82">
        <f>(0)</f>
        <v>0</v>
      </c>
      <c r="AI82">
        <f>(0)</f>
        <v>0</v>
      </c>
      <c r="AJ82">
        <f t="shared" si="37"/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94</v>
      </c>
      <c r="AU82">
        <v>61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1</v>
      </c>
      <c r="BJ82" t="s">
        <v>195</v>
      </c>
      <c r="BM82">
        <v>700008</v>
      </c>
      <c r="BN82">
        <v>0</v>
      </c>
      <c r="BO82" t="s">
        <v>3</v>
      </c>
      <c r="BP82">
        <v>0</v>
      </c>
      <c r="BQ82">
        <v>10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94</v>
      </c>
      <c r="CA82">
        <v>61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38"/>
        <v>0</v>
      </c>
      <c r="CQ82">
        <f>0</f>
        <v>0</v>
      </c>
      <c r="CR82">
        <f>0</f>
        <v>0</v>
      </c>
      <c r="CS82">
        <f>0</f>
        <v>0</v>
      </c>
      <c r="CT82">
        <f>0</f>
        <v>0</v>
      </c>
      <c r="CU82">
        <f t="shared" si="39"/>
        <v>0</v>
      </c>
      <c r="CV82">
        <f>0</f>
        <v>0</v>
      </c>
      <c r="CW82">
        <f>0</f>
        <v>0</v>
      </c>
      <c r="CX82">
        <f t="shared" si="40"/>
        <v>0</v>
      </c>
      <c r="CY82">
        <f>0</f>
        <v>0</v>
      </c>
      <c r="CZ82">
        <f>0</f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1013</v>
      </c>
      <c r="DV82" t="s">
        <v>197</v>
      </c>
      <c r="DW82" t="s">
        <v>197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64851442</v>
      </c>
      <c r="EF82">
        <v>10</v>
      </c>
      <c r="EG82" t="s">
        <v>198</v>
      </c>
      <c r="EH82">
        <v>107</v>
      </c>
      <c r="EI82" t="s">
        <v>199</v>
      </c>
      <c r="EJ82">
        <v>1</v>
      </c>
      <c r="EK82">
        <v>700008</v>
      </c>
      <c r="EL82" t="s">
        <v>200</v>
      </c>
      <c r="EM82" t="s">
        <v>201</v>
      </c>
      <c r="EO82" t="s">
        <v>3</v>
      </c>
      <c r="EQ82">
        <v>0</v>
      </c>
      <c r="ER82">
        <v>283.2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FQ82">
        <v>0</v>
      </c>
      <c r="FR82">
        <f t="shared" si="43"/>
        <v>0</v>
      </c>
      <c r="FS82">
        <v>0</v>
      </c>
      <c r="FX82">
        <v>94</v>
      </c>
      <c r="FY82">
        <v>61</v>
      </c>
      <c r="GA82" t="s">
        <v>3</v>
      </c>
      <c r="GD82">
        <v>1</v>
      </c>
      <c r="GF82">
        <v>161731754</v>
      </c>
      <c r="GG82">
        <v>2</v>
      </c>
      <c r="GH82">
        <v>1</v>
      </c>
      <c r="GI82">
        <v>-2</v>
      </c>
      <c r="GJ82">
        <v>0</v>
      </c>
      <c r="GK82">
        <v>0</v>
      </c>
      <c r="GL82">
        <f t="shared" si="44"/>
        <v>0</v>
      </c>
      <c r="GM82">
        <f t="shared" si="45"/>
        <v>0</v>
      </c>
      <c r="GN82">
        <f t="shared" si="46"/>
        <v>0</v>
      </c>
      <c r="GO82">
        <f t="shared" si="47"/>
        <v>0</v>
      </c>
      <c r="GP82">
        <f t="shared" si="48"/>
        <v>0</v>
      </c>
      <c r="GR82">
        <v>0</v>
      </c>
      <c r="GS82">
        <v>0</v>
      </c>
      <c r="GT82">
        <v>0</v>
      </c>
      <c r="GU82" t="s">
        <v>3</v>
      </c>
      <c r="GV82">
        <f t="shared" si="49"/>
        <v>0</v>
      </c>
      <c r="GW82">
        <v>1</v>
      </c>
      <c r="GX82">
        <f t="shared" si="50"/>
        <v>0</v>
      </c>
      <c r="HA82">
        <v>0</v>
      </c>
      <c r="HB82">
        <v>0</v>
      </c>
      <c r="HC82">
        <f t="shared" si="51"/>
        <v>0</v>
      </c>
      <c r="HD82">
        <f>GM82</f>
        <v>0</v>
      </c>
      <c r="HE82" t="s">
        <v>3</v>
      </c>
      <c r="HF82" t="s">
        <v>3</v>
      </c>
      <c r="HM82" t="s">
        <v>3</v>
      </c>
      <c r="HN82" t="s">
        <v>202</v>
      </c>
      <c r="HO82" t="s">
        <v>203</v>
      </c>
      <c r="HP82" t="s">
        <v>199</v>
      </c>
      <c r="HQ82" t="s">
        <v>199</v>
      </c>
      <c r="IK82">
        <v>0</v>
      </c>
    </row>
    <row r="83" spans="1:245" x14ac:dyDescent="0.2">
      <c r="A83">
        <v>17</v>
      </c>
      <c r="B83">
        <v>1</v>
      </c>
      <c r="C83">
        <f>ROW(SmtRes!A131)</f>
        <v>131</v>
      </c>
      <c r="D83">
        <f>ROW(EtalonRes!A126)</f>
        <v>126</v>
      </c>
      <c r="E83" t="s">
        <v>204</v>
      </c>
      <c r="F83" t="s">
        <v>205</v>
      </c>
      <c r="G83" t="s">
        <v>206</v>
      </c>
      <c r="H83" t="s">
        <v>207</v>
      </c>
      <c r="I83">
        <f>ROUND(3.8/100,7)</f>
        <v>3.7999999999999999E-2</v>
      </c>
      <c r="J83">
        <v>0</v>
      </c>
      <c r="K83">
        <f>ROUND(3.8/100,7)</f>
        <v>3.7999999999999999E-2</v>
      </c>
      <c r="O83">
        <f t="shared" si="30"/>
        <v>2638.78</v>
      </c>
      <c r="P83">
        <f>SUMIF(SmtRes!AQ130:'SmtRes'!AQ131,"=1",SmtRes!DF130:'SmtRes'!DF131)</f>
        <v>0</v>
      </c>
      <c r="Q83">
        <f>SUMIF(SmtRes!AQ130:'SmtRes'!AQ131,"=1",SmtRes!DG130:'SmtRes'!DG131)</f>
        <v>0</v>
      </c>
      <c r="R83">
        <f>SUMIF(SmtRes!AQ130:'SmtRes'!AQ131,"=1",SmtRes!DH130:'SmtRes'!DH131)</f>
        <v>0</v>
      </c>
      <c r="S83">
        <f>SUMIF(SmtRes!AQ130:'SmtRes'!AQ131,"=1",SmtRes!DI130:'SmtRes'!DI131)</f>
        <v>2638.78</v>
      </c>
      <c r="T83">
        <f t="shared" si="31"/>
        <v>0</v>
      </c>
      <c r="U83">
        <f>SUMIF(SmtRes!AQ130:'SmtRes'!AQ131,"=1",SmtRes!CV130:'SmtRes'!CV131)</f>
        <v>7.1440000000000001</v>
      </c>
      <c r="V83">
        <f>SUMIF(SmtRes!AQ130:'SmtRes'!AQ131,"=1",SmtRes!CW130:'SmtRes'!CW131)</f>
        <v>0</v>
      </c>
      <c r="W83">
        <f t="shared" si="32"/>
        <v>0</v>
      </c>
      <c r="X83">
        <f t="shared" si="33"/>
        <v>2427.6799999999998</v>
      </c>
      <c r="Y83">
        <f t="shared" si="34"/>
        <v>1161.06</v>
      </c>
      <c r="AA83">
        <v>65170852</v>
      </c>
      <c r="AB83">
        <f t="shared" si="35"/>
        <v>69441.56</v>
      </c>
      <c r="AC83">
        <f>ROUND((0),6)</f>
        <v>0</v>
      </c>
      <c r="AD83">
        <f>ROUND((((0)-(0))+AE83),6)</f>
        <v>0</v>
      </c>
      <c r="AE83">
        <f>ROUND((0),6)</f>
        <v>0</v>
      </c>
      <c r="AF83">
        <f>ROUND((SUM(SmtRes!BT130:'SmtRes'!BT131)),6)</f>
        <v>69441.56</v>
      </c>
      <c r="AG83">
        <f t="shared" si="36"/>
        <v>0</v>
      </c>
      <c r="AH83">
        <f>(SUM(SmtRes!BU130:'SmtRes'!BU131))</f>
        <v>188</v>
      </c>
      <c r="AI83">
        <f>(0)</f>
        <v>0</v>
      </c>
      <c r="AJ83">
        <f t="shared" si="37"/>
        <v>0</v>
      </c>
      <c r="AK83">
        <v>69441.56</v>
      </c>
      <c r="AL83">
        <v>0</v>
      </c>
      <c r="AM83">
        <v>0</v>
      </c>
      <c r="AN83">
        <v>0</v>
      </c>
      <c r="AO83">
        <v>69441.56</v>
      </c>
      <c r="AP83">
        <v>0</v>
      </c>
      <c r="AQ83">
        <v>188</v>
      </c>
      <c r="AR83">
        <v>0</v>
      </c>
      <c r="AS83">
        <v>0</v>
      </c>
      <c r="AT83">
        <v>92</v>
      </c>
      <c r="AU83">
        <v>44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1</v>
      </c>
      <c r="BJ83" t="s">
        <v>208</v>
      </c>
      <c r="BM83">
        <v>69001</v>
      </c>
      <c r="BN83">
        <v>0</v>
      </c>
      <c r="BO83" t="s">
        <v>3</v>
      </c>
      <c r="BP83">
        <v>0</v>
      </c>
      <c r="BQ83">
        <v>6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92</v>
      </c>
      <c r="CA83">
        <v>44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38"/>
        <v>2638.78</v>
      </c>
      <c r="CQ83">
        <f>SUMIF(SmtRes!AQ130:'SmtRes'!AQ131,"=1",SmtRes!AA130:'SmtRes'!AA131)</f>
        <v>0</v>
      </c>
      <c r="CR83">
        <f>SUMIF(SmtRes!AQ130:'SmtRes'!AQ131,"=1",SmtRes!AB130:'SmtRes'!AB131)</f>
        <v>0</v>
      </c>
      <c r="CS83">
        <f>SUMIF(SmtRes!AQ130:'SmtRes'!AQ131,"=1",SmtRes!AC130:'SmtRes'!AC131)</f>
        <v>0</v>
      </c>
      <c r="CT83">
        <f>SUMIF(SmtRes!AQ130:'SmtRes'!AQ131,"=1",SmtRes!AD130:'SmtRes'!AD131)</f>
        <v>369.37</v>
      </c>
      <c r="CU83">
        <f t="shared" si="39"/>
        <v>0</v>
      </c>
      <c r="CV83">
        <f>SUMIF(SmtRes!AQ130:'SmtRes'!AQ131,"=1",SmtRes!BU130:'SmtRes'!BU131)</f>
        <v>188</v>
      </c>
      <c r="CW83">
        <f>SUMIF(SmtRes!AQ130:'SmtRes'!AQ131,"=1",SmtRes!BV130:'SmtRes'!BV131)</f>
        <v>0</v>
      </c>
      <c r="CX83">
        <f t="shared" si="40"/>
        <v>0</v>
      </c>
      <c r="CY83">
        <f>(((S83+R83)*AT83)/100)</f>
        <v>2427.6776</v>
      </c>
      <c r="CZ83">
        <f>(((S83+R83)*AU83)/100)</f>
        <v>1161.0632000000001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1009</v>
      </c>
      <c r="DV83" t="s">
        <v>207</v>
      </c>
      <c r="DW83" t="s">
        <v>207</v>
      </c>
      <c r="DX83">
        <v>100000</v>
      </c>
      <c r="DZ83" t="s">
        <v>3</v>
      </c>
      <c r="EA83" t="s">
        <v>3</v>
      </c>
      <c r="EB83" t="s">
        <v>3</v>
      </c>
      <c r="EC83" t="s">
        <v>3</v>
      </c>
      <c r="EE83">
        <v>64851128</v>
      </c>
      <c r="EF83">
        <v>6</v>
      </c>
      <c r="EG83" t="s">
        <v>188</v>
      </c>
      <c r="EH83">
        <v>103</v>
      </c>
      <c r="EI83" t="s">
        <v>209</v>
      </c>
      <c r="EJ83">
        <v>1</v>
      </c>
      <c r="EK83">
        <v>69001</v>
      </c>
      <c r="EL83" t="s">
        <v>209</v>
      </c>
      <c r="EM83" t="s">
        <v>210</v>
      </c>
      <c r="EO83" t="s">
        <v>3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188</v>
      </c>
      <c r="EX83">
        <v>0</v>
      </c>
      <c r="EY83">
        <v>0</v>
      </c>
      <c r="FQ83">
        <v>0</v>
      </c>
      <c r="FR83">
        <f t="shared" si="43"/>
        <v>0</v>
      </c>
      <c r="FS83">
        <v>0</v>
      </c>
      <c r="FX83">
        <v>92</v>
      </c>
      <c r="FY83">
        <v>44</v>
      </c>
      <c r="GA83" t="s">
        <v>3</v>
      </c>
      <c r="GD83">
        <v>1</v>
      </c>
      <c r="GF83">
        <v>-1904871761</v>
      </c>
      <c r="GG83">
        <v>2</v>
      </c>
      <c r="GH83">
        <v>1</v>
      </c>
      <c r="GI83">
        <v>-2</v>
      </c>
      <c r="GJ83">
        <v>0</v>
      </c>
      <c r="GK83">
        <v>0</v>
      </c>
      <c r="GL83">
        <f t="shared" si="44"/>
        <v>0</v>
      </c>
      <c r="GM83">
        <f t="shared" si="45"/>
        <v>6227.52</v>
      </c>
      <c r="GN83">
        <f t="shared" si="46"/>
        <v>6227.52</v>
      </c>
      <c r="GO83">
        <f t="shared" si="47"/>
        <v>0</v>
      </c>
      <c r="GP83">
        <f t="shared" si="48"/>
        <v>0</v>
      </c>
      <c r="GR83">
        <v>0</v>
      </c>
      <c r="GS83">
        <v>0</v>
      </c>
      <c r="GT83">
        <v>0</v>
      </c>
      <c r="GU83" t="s">
        <v>3</v>
      </c>
      <c r="GV83">
        <f t="shared" si="49"/>
        <v>0</v>
      </c>
      <c r="GW83">
        <v>1</v>
      </c>
      <c r="GX83">
        <f t="shared" si="50"/>
        <v>0</v>
      </c>
      <c r="HA83">
        <v>0</v>
      </c>
      <c r="HB83">
        <v>0</v>
      </c>
      <c r="HC83">
        <f t="shared" si="51"/>
        <v>0</v>
      </c>
      <c r="HE83" t="s">
        <v>3</v>
      </c>
      <c r="HF83" t="s">
        <v>3</v>
      </c>
      <c r="HM83" t="s">
        <v>3</v>
      </c>
      <c r="HN83" t="s">
        <v>211</v>
      </c>
      <c r="HO83" t="s">
        <v>212</v>
      </c>
      <c r="HP83" t="s">
        <v>209</v>
      </c>
      <c r="HQ83" t="s">
        <v>209</v>
      </c>
      <c r="IK83">
        <v>0</v>
      </c>
    </row>
    <row r="84" spans="1:245" x14ac:dyDescent="0.2">
      <c r="A84">
        <v>17</v>
      </c>
      <c r="B84">
        <v>1</v>
      </c>
      <c r="C84">
        <f>ROW(SmtRes!A134)</f>
        <v>134</v>
      </c>
      <c r="D84">
        <f>ROW(EtalonRes!A129)</f>
        <v>129</v>
      </c>
      <c r="E84" t="s">
        <v>213</v>
      </c>
      <c r="F84" t="s">
        <v>185</v>
      </c>
      <c r="G84" t="s">
        <v>214</v>
      </c>
      <c r="H84" t="s">
        <v>116</v>
      </c>
      <c r="I84">
        <f>ROUND(3.8/100,7)</f>
        <v>3.7999999999999999E-2</v>
      </c>
      <c r="J84">
        <v>0</v>
      </c>
      <c r="K84">
        <f>ROUND(3.8/100,7)</f>
        <v>3.7999999999999999E-2</v>
      </c>
      <c r="O84">
        <f t="shared" si="30"/>
        <v>3245.35</v>
      </c>
      <c r="P84">
        <f>SUMIF(SmtRes!AQ132:'SmtRes'!AQ134,"=1",SmtRes!DF132:'SmtRes'!DF134)</f>
        <v>0</v>
      </c>
      <c r="Q84">
        <f>SUMIF(SmtRes!AQ132:'SmtRes'!AQ134,"=1",SmtRes!DG132:'SmtRes'!DG134)</f>
        <v>1287.03</v>
      </c>
      <c r="R84">
        <f>SUMIF(SmtRes!AQ132:'SmtRes'!AQ134,"=1",SmtRes!DH132:'SmtRes'!DH134)</f>
        <v>782.92</v>
      </c>
      <c r="S84">
        <f>SUMIF(SmtRes!AQ132:'SmtRes'!AQ134,"=1",SmtRes!DI132:'SmtRes'!DI134)</f>
        <v>1175.4000000000001</v>
      </c>
      <c r="T84">
        <f t="shared" si="31"/>
        <v>0</v>
      </c>
      <c r="U84">
        <f>SUMIF(SmtRes!AQ132:'SmtRes'!AQ134,"=1",SmtRes!CV132:'SmtRes'!CV134)</f>
        <v>3.1539999999999999</v>
      </c>
      <c r="V84">
        <f>SUMIF(SmtRes!AQ132:'SmtRes'!AQ134,"=1",SmtRes!CW132:'SmtRes'!CW134)</f>
        <v>1.5960000000000001</v>
      </c>
      <c r="W84">
        <f t="shared" si="32"/>
        <v>0</v>
      </c>
      <c r="X84">
        <f t="shared" si="33"/>
        <v>1703.74</v>
      </c>
      <c r="Y84">
        <f t="shared" si="34"/>
        <v>783.33</v>
      </c>
      <c r="AA84">
        <v>65170852</v>
      </c>
      <c r="AB84">
        <f t="shared" si="35"/>
        <v>56590.25</v>
      </c>
      <c r="AC84">
        <f>ROUND((0),6)</f>
        <v>0</v>
      </c>
      <c r="AD84">
        <f>ROUND((((SUM(SmtRes!BR132:'SmtRes'!BR134))-(SUM(SmtRes!BS132:'SmtRes'!BS134)))+AE84),6)</f>
        <v>25658.639999999999</v>
      </c>
      <c r="AE84">
        <f>ROUND((SUM(SmtRes!BS132:'SmtRes'!BS134)),6)</f>
        <v>20603.099999999999</v>
      </c>
      <c r="AF84">
        <f>ROUND((SUM(SmtRes!BT132:'SmtRes'!BT134)),6)</f>
        <v>30931.61</v>
      </c>
      <c r="AG84">
        <f t="shared" si="36"/>
        <v>0</v>
      </c>
      <c r="AH84">
        <f>(SUM(SmtRes!BU132:'SmtRes'!BU134))</f>
        <v>83</v>
      </c>
      <c r="AI84">
        <f>(SUM(SmtRes!BV132:'SmtRes'!BV134))</f>
        <v>42</v>
      </c>
      <c r="AJ84">
        <f t="shared" si="37"/>
        <v>0</v>
      </c>
      <c r="AK84">
        <v>77193.350000000006</v>
      </c>
      <c r="AL84">
        <v>0</v>
      </c>
      <c r="AM84">
        <v>25658.639999999999</v>
      </c>
      <c r="AN84">
        <v>20603.100000000002</v>
      </c>
      <c r="AO84">
        <v>30931.61</v>
      </c>
      <c r="AP84">
        <v>0</v>
      </c>
      <c r="AQ84">
        <v>83</v>
      </c>
      <c r="AR84">
        <v>42</v>
      </c>
      <c r="AS84">
        <v>0</v>
      </c>
      <c r="AT84">
        <v>87</v>
      </c>
      <c r="AU84">
        <v>40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1</v>
      </c>
      <c r="BJ84" t="s">
        <v>187</v>
      </c>
      <c r="BM84">
        <v>51002</v>
      </c>
      <c r="BN84">
        <v>0</v>
      </c>
      <c r="BO84" t="s">
        <v>3</v>
      </c>
      <c r="BP84">
        <v>0</v>
      </c>
      <c r="BQ84">
        <v>6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87</v>
      </c>
      <c r="CA84">
        <v>40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38"/>
        <v>3245.3500000000004</v>
      </c>
      <c r="CQ84">
        <f>SUMIF(SmtRes!AQ132:'SmtRes'!AQ134,"=1",SmtRes!AA132:'SmtRes'!AA134)</f>
        <v>0</v>
      </c>
      <c r="CR84">
        <f>SUMIF(SmtRes!AQ132:'SmtRes'!AQ134,"=1",SmtRes!AB132:'SmtRes'!AB134)</f>
        <v>806.41</v>
      </c>
      <c r="CS84">
        <f>SUMIF(SmtRes!AQ132:'SmtRes'!AQ134,"=1",SmtRes!AC132:'SmtRes'!AC134)</f>
        <v>490.55</v>
      </c>
      <c r="CT84">
        <f>SUMIF(SmtRes!AQ132:'SmtRes'!AQ134,"=1",SmtRes!AD132:'SmtRes'!AD134)</f>
        <v>372.67</v>
      </c>
      <c r="CU84">
        <f t="shared" si="39"/>
        <v>0</v>
      </c>
      <c r="CV84">
        <f>SUMIF(SmtRes!AQ132:'SmtRes'!AQ134,"=1",SmtRes!BU132:'SmtRes'!BU134)</f>
        <v>83</v>
      </c>
      <c r="CW84">
        <f>SUMIF(SmtRes!AQ132:'SmtRes'!AQ134,"=1",SmtRes!BV132:'SmtRes'!BV134)</f>
        <v>42</v>
      </c>
      <c r="CX84">
        <f t="shared" si="40"/>
        <v>0</v>
      </c>
      <c r="CY84">
        <f>(((S84+R84)*AT84)/100)</f>
        <v>1703.7384000000002</v>
      </c>
      <c r="CZ84">
        <f>(((S84+R84)*AU84)/100)</f>
        <v>783.32799999999997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1007</v>
      </c>
      <c r="DV84" t="s">
        <v>116</v>
      </c>
      <c r="DW84" t="s">
        <v>116</v>
      </c>
      <c r="DX84">
        <v>100</v>
      </c>
      <c r="DZ84" t="s">
        <v>3</v>
      </c>
      <c r="EA84" t="s">
        <v>3</v>
      </c>
      <c r="EB84" t="s">
        <v>3</v>
      </c>
      <c r="EC84" t="s">
        <v>3</v>
      </c>
      <c r="EE84">
        <v>64851074</v>
      </c>
      <c r="EF84">
        <v>6</v>
      </c>
      <c r="EG84" t="s">
        <v>188</v>
      </c>
      <c r="EH84">
        <v>1</v>
      </c>
      <c r="EI84" t="s">
        <v>120</v>
      </c>
      <c r="EJ84">
        <v>1</v>
      </c>
      <c r="EK84">
        <v>51002</v>
      </c>
      <c r="EL84" t="s">
        <v>189</v>
      </c>
      <c r="EM84" t="s">
        <v>190</v>
      </c>
      <c r="EO84" t="s">
        <v>3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83</v>
      </c>
      <c r="EX84">
        <v>42</v>
      </c>
      <c r="EY84">
        <v>0</v>
      </c>
      <c r="FQ84">
        <v>0</v>
      </c>
      <c r="FR84">
        <f t="shared" si="43"/>
        <v>0</v>
      </c>
      <c r="FS84">
        <v>0</v>
      </c>
      <c r="FX84">
        <v>87</v>
      </c>
      <c r="FY84">
        <v>40</v>
      </c>
      <c r="GA84" t="s">
        <v>3</v>
      </c>
      <c r="GD84">
        <v>1</v>
      </c>
      <c r="GF84">
        <v>-37791561</v>
      </c>
      <c r="GG84">
        <v>2</v>
      </c>
      <c r="GH84">
        <v>1</v>
      </c>
      <c r="GI84">
        <v>-2</v>
      </c>
      <c r="GJ84">
        <v>0</v>
      </c>
      <c r="GK84">
        <v>0</v>
      </c>
      <c r="GL84">
        <f t="shared" si="44"/>
        <v>0</v>
      </c>
      <c r="GM84">
        <f t="shared" si="45"/>
        <v>5732.42</v>
      </c>
      <c r="GN84">
        <f t="shared" si="46"/>
        <v>5732.42</v>
      </c>
      <c r="GO84">
        <f t="shared" si="47"/>
        <v>0</v>
      </c>
      <c r="GP84">
        <f t="shared" si="48"/>
        <v>0</v>
      </c>
      <c r="GR84">
        <v>0</v>
      </c>
      <c r="GS84">
        <v>0</v>
      </c>
      <c r="GT84">
        <v>0</v>
      </c>
      <c r="GU84" t="s">
        <v>3</v>
      </c>
      <c r="GV84">
        <f t="shared" si="49"/>
        <v>0</v>
      </c>
      <c r="GW84">
        <v>1</v>
      </c>
      <c r="GX84">
        <f t="shared" si="50"/>
        <v>0</v>
      </c>
      <c r="HA84">
        <v>0</v>
      </c>
      <c r="HB84">
        <v>0</v>
      </c>
      <c r="HC84">
        <f t="shared" si="51"/>
        <v>0</v>
      </c>
      <c r="HE84" t="s">
        <v>3</v>
      </c>
      <c r="HF84" t="s">
        <v>3</v>
      </c>
      <c r="HM84" t="s">
        <v>3</v>
      </c>
      <c r="HN84" t="s">
        <v>191</v>
      </c>
      <c r="HO84" t="s">
        <v>192</v>
      </c>
      <c r="HP84" t="s">
        <v>193</v>
      </c>
      <c r="HQ84" t="s">
        <v>193</v>
      </c>
      <c r="IK84">
        <v>0</v>
      </c>
    </row>
    <row r="85" spans="1:245" x14ac:dyDescent="0.2">
      <c r="A85">
        <v>17</v>
      </c>
      <c r="B85">
        <v>1</v>
      </c>
      <c r="E85" t="s">
        <v>215</v>
      </c>
      <c r="F85" t="s">
        <v>195</v>
      </c>
      <c r="G85" t="s">
        <v>196</v>
      </c>
      <c r="H85" t="s">
        <v>197</v>
      </c>
      <c r="I85">
        <v>3.8</v>
      </c>
      <c r="J85">
        <v>0</v>
      </c>
      <c r="K85">
        <v>3.8</v>
      </c>
      <c r="O85">
        <f t="shared" si="30"/>
        <v>0</v>
      </c>
      <c r="P85">
        <f>0</f>
        <v>0</v>
      </c>
      <c r="Q85">
        <f>0</f>
        <v>0</v>
      </c>
      <c r="R85">
        <f>0</f>
        <v>0</v>
      </c>
      <c r="S85">
        <f>0</f>
        <v>0</v>
      </c>
      <c r="T85">
        <f t="shared" si="31"/>
        <v>0</v>
      </c>
      <c r="U85">
        <f>0</f>
        <v>0</v>
      </c>
      <c r="V85">
        <f>0</f>
        <v>0</v>
      </c>
      <c r="W85">
        <f t="shared" si="32"/>
        <v>0</v>
      </c>
      <c r="X85">
        <f t="shared" si="33"/>
        <v>0</v>
      </c>
      <c r="Y85">
        <f t="shared" si="34"/>
        <v>0</v>
      </c>
      <c r="AA85">
        <v>65170852</v>
      </c>
      <c r="AB85">
        <f t="shared" si="35"/>
        <v>0</v>
      </c>
      <c r="AC85">
        <f>ROUND((0),6)</f>
        <v>0</v>
      </c>
      <c r="AD85">
        <f>ROUND((0),6)</f>
        <v>0</v>
      </c>
      <c r="AE85">
        <f>ROUND((0),6)</f>
        <v>0</v>
      </c>
      <c r="AF85">
        <f>ROUND((0),6)</f>
        <v>0</v>
      </c>
      <c r="AG85">
        <f t="shared" si="36"/>
        <v>0</v>
      </c>
      <c r="AH85">
        <f>(0)</f>
        <v>0</v>
      </c>
      <c r="AI85">
        <f>(0)</f>
        <v>0</v>
      </c>
      <c r="AJ85">
        <f t="shared" si="37"/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94</v>
      </c>
      <c r="AU85">
        <v>61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1</v>
      </c>
      <c r="BJ85" t="s">
        <v>195</v>
      </c>
      <c r="BM85">
        <v>700008</v>
      </c>
      <c r="BN85">
        <v>0</v>
      </c>
      <c r="BO85" t="s">
        <v>3</v>
      </c>
      <c r="BP85">
        <v>0</v>
      </c>
      <c r="BQ85">
        <v>10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94</v>
      </c>
      <c r="CA85">
        <v>61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38"/>
        <v>0</v>
      </c>
      <c r="CQ85">
        <f>0</f>
        <v>0</v>
      </c>
      <c r="CR85">
        <f>0</f>
        <v>0</v>
      </c>
      <c r="CS85">
        <f>0</f>
        <v>0</v>
      </c>
      <c r="CT85">
        <f>0</f>
        <v>0</v>
      </c>
      <c r="CU85">
        <f t="shared" si="39"/>
        <v>0</v>
      </c>
      <c r="CV85">
        <f>0</f>
        <v>0</v>
      </c>
      <c r="CW85">
        <f>0</f>
        <v>0</v>
      </c>
      <c r="CX85">
        <f t="shared" si="40"/>
        <v>0</v>
      </c>
      <c r="CY85">
        <f>0</f>
        <v>0</v>
      </c>
      <c r="CZ85">
        <f>0</f>
        <v>0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1013</v>
      </c>
      <c r="DV85" t="s">
        <v>197</v>
      </c>
      <c r="DW85" t="s">
        <v>197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64851442</v>
      </c>
      <c r="EF85">
        <v>10</v>
      </c>
      <c r="EG85" t="s">
        <v>198</v>
      </c>
      <c r="EH85">
        <v>107</v>
      </c>
      <c r="EI85" t="s">
        <v>199</v>
      </c>
      <c r="EJ85">
        <v>1</v>
      </c>
      <c r="EK85">
        <v>700008</v>
      </c>
      <c r="EL85" t="s">
        <v>200</v>
      </c>
      <c r="EM85" t="s">
        <v>201</v>
      </c>
      <c r="EO85" t="s">
        <v>3</v>
      </c>
      <c r="EQ85">
        <v>0</v>
      </c>
      <c r="ER85">
        <v>283.2</v>
      </c>
      <c r="ES85">
        <v>0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FQ85">
        <v>0</v>
      </c>
      <c r="FR85">
        <f t="shared" si="43"/>
        <v>0</v>
      </c>
      <c r="FS85">
        <v>0</v>
      </c>
      <c r="FX85">
        <v>94</v>
      </c>
      <c r="FY85">
        <v>61</v>
      </c>
      <c r="GA85" t="s">
        <v>3</v>
      </c>
      <c r="GD85">
        <v>1</v>
      </c>
      <c r="GF85">
        <v>161731754</v>
      </c>
      <c r="GG85">
        <v>2</v>
      </c>
      <c r="GH85">
        <v>1</v>
      </c>
      <c r="GI85">
        <v>-2</v>
      </c>
      <c r="GJ85">
        <v>0</v>
      </c>
      <c r="GK85">
        <v>0</v>
      </c>
      <c r="GL85">
        <f t="shared" si="44"/>
        <v>0</v>
      </c>
      <c r="GM85">
        <f t="shared" si="45"/>
        <v>0</v>
      </c>
      <c r="GN85">
        <f t="shared" si="46"/>
        <v>0</v>
      </c>
      <c r="GO85">
        <f t="shared" si="47"/>
        <v>0</v>
      </c>
      <c r="GP85">
        <f t="shared" si="48"/>
        <v>0</v>
      </c>
      <c r="GR85">
        <v>0</v>
      </c>
      <c r="GS85">
        <v>0</v>
      </c>
      <c r="GT85">
        <v>0</v>
      </c>
      <c r="GU85" t="s">
        <v>3</v>
      </c>
      <c r="GV85">
        <f t="shared" si="49"/>
        <v>0</v>
      </c>
      <c r="GW85">
        <v>1</v>
      </c>
      <c r="GX85">
        <f t="shared" si="50"/>
        <v>0</v>
      </c>
      <c r="HA85">
        <v>0</v>
      </c>
      <c r="HB85">
        <v>0</v>
      </c>
      <c r="HC85">
        <f t="shared" si="51"/>
        <v>0</v>
      </c>
      <c r="HD85">
        <f>GM85</f>
        <v>0</v>
      </c>
      <c r="HE85" t="s">
        <v>3</v>
      </c>
      <c r="HF85" t="s">
        <v>3</v>
      </c>
      <c r="HM85" t="s">
        <v>3</v>
      </c>
      <c r="HN85" t="s">
        <v>202</v>
      </c>
      <c r="HO85" t="s">
        <v>203</v>
      </c>
      <c r="HP85" t="s">
        <v>199</v>
      </c>
      <c r="HQ85" t="s">
        <v>199</v>
      </c>
      <c r="IK85">
        <v>0</v>
      </c>
    </row>
    <row r="87" spans="1:245" x14ac:dyDescent="0.2">
      <c r="A87" s="2">
        <v>51</v>
      </c>
      <c r="B87" s="2">
        <f>B58</f>
        <v>1</v>
      </c>
      <c r="C87" s="2">
        <f>A58</f>
        <v>4</v>
      </c>
      <c r="D87" s="2">
        <f>ROW(A58)</f>
        <v>58</v>
      </c>
      <c r="E87" s="2"/>
      <c r="F87" s="2" t="str">
        <f>IF(F58&lt;&gt;"",F58,"")</f>
        <v>Новый раздел</v>
      </c>
      <c r="G87" s="2" t="str">
        <f>IF(G58&lt;&gt;"",G58,"")</f>
        <v>Строительная работы</v>
      </c>
      <c r="H87" s="2">
        <v>0</v>
      </c>
      <c r="I87" s="2"/>
      <c r="J87" s="2"/>
      <c r="K87" s="2"/>
      <c r="L87" s="2"/>
      <c r="M87" s="2"/>
      <c r="N87" s="2"/>
      <c r="O87" s="2">
        <f t="shared" ref="O87:T87" si="52">ROUND(AB87,2)</f>
        <v>111926.38</v>
      </c>
      <c r="P87" s="2">
        <f t="shared" si="52"/>
        <v>59956.32</v>
      </c>
      <c r="Q87" s="2">
        <f t="shared" si="52"/>
        <v>10085.27</v>
      </c>
      <c r="R87" s="2">
        <f t="shared" si="52"/>
        <v>4219.57</v>
      </c>
      <c r="S87" s="2">
        <f t="shared" si="52"/>
        <v>37665.22</v>
      </c>
      <c r="T87" s="2">
        <f t="shared" si="52"/>
        <v>0</v>
      </c>
      <c r="U87" s="2">
        <f>AH87</f>
        <v>83.95923839999999</v>
      </c>
      <c r="V87" s="2">
        <f>AI87</f>
        <v>7.5584420000000003</v>
      </c>
      <c r="W87" s="2">
        <f>ROUND(AJ87,2)</f>
        <v>0</v>
      </c>
      <c r="X87" s="2">
        <f>ROUND(AK87,2)</f>
        <v>43200.29</v>
      </c>
      <c r="Y87" s="2">
        <f>ROUND(AL87,2)</f>
        <v>26120.5</v>
      </c>
      <c r="Z87" s="2"/>
      <c r="AA87" s="2"/>
      <c r="AB87" s="2">
        <f>ROUND(SUMIF(AA62:AA85,"=65170852",O62:O85),2)</f>
        <v>111926.38</v>
      </c>
      <c r="AC87" s="2">
        <f>ROUND(SUMIF(AA62:AA85,"=65170852",P62:P85),2)</f>
        <v>59956.32</v>
      </c>
      <c r="AD87" s="2">
        <f>ROUND(SUMIF(AA62:AA85,"=65170852",Q62:Q85),2)</f>
        <v>10085.27</v>
      </c>
      <c r="AE87" s="2">
        <f>ROUND(SUMIF(AA62:AA85,"=65170852",R62:R85),2)</f>
        <v>4219.57</v>
      </c>
      <c r="AF87" s="2">
        <f>ROUND(SUMIF(AA62:AA85,"=65170852",S62:S85),2)</f>
        <v>37665.22</v>
      </c>
      <c r="AG87" s="2">
        <f>ROUND(SUMIF(AA62:AA85,"=65170852",T62:T85),2)</f>
        <v>0</v>
      </c>
      <c r="AH87" s="2">
        <f>SUMIF(AA62:AA85,"=65170852",U62:U85)</f>
        <v>83.95923839999999</v>
      </c>
      <c r="AI87" s="2">
        <f>SUMIF(AA62:AA85,"=65170852",V62:V85)</f>
        <v>7.5584420000000003</v>
      </c>
      <c r="AJ87" s="2">
        <f>ROUND(SUMIF(AA62:AA85,"=65170852",W62:W85),2)</f>
        <v>0</v>
      </c>
      <c r="AK87" s="2">
        <f>ROUND(SUMIF(AA62:AA85,"=65170852",X62:X85),2)</f>
        <v>43200.29</v>
      </c>
      <c r="AL87" s="2">
        <f>ROUND(SUMIF(AA62:AA85,"=65170852",Y62:Y85),2)</f>
        <v>26120.5</v>
      </c>
      <c r="AM87" s="2"/>
      <c r="AN87" s="2"/>
      <c r="AO87" s="2">
        <f t="shared" ref="AO87:BD87" si="53">ROUND(BX87,2)</f>
        <v>0</v>
      </c>
      <c r="AP87" s="2">
        <f t="shared" si="53"/>
        <v>0</v>
      </c>
      <c r="AQ87" s="2">
        <f t="shared" si="53"/>
        <v>0</v>
      </c>
      <c r="AR87" s="2">
        <f t="shared" si="53"/>
        <v>181247.17</v>
      </c>
      <c r="AS87" s="2">
        <f t="shared" si="53"/>
        <v>181247.17</v>
      </c>
      <c r="AT87" s="2">
        <f t="shared" si="53"/>
        <v>0</v>
      </c>
      <c r="AU87" s="2">
        <f t="shared" si="53"/>
        <v>0</v>
      </c>
      <c r="AV87" s="2">
        <f t="shared" si="53"/>
        <v>59956.32</v>
      </c>
      <c r="AW87" s="2">
        <f t="shared" si="53"/>
        <v>59956.32</v>
      </c>
      <c r="AX87" s="2">
        <f t="shared" si="53"/>
        <v>0</v>
      </c>
      <c r="AY87" s="2">
        <f t="shared" si="53"/>
        <v>59956.32</v>
      </c>
      <c r="AZ87" s="2">
        <f t="shared" si="53"/>
        <v>0</v>
      </c>
      <c r="BA87" s="2">
        <f t="shared" si="53"/>
        <v>0</v>
      </c>
      <c r="BB87" s="2">
        <f t="shared" si="53"/>
        <v>0</v>
      </c>
      <c r="BC87" s="2">
        <f t="shared" si="53"/>
        <v>0</v>
      </c>
      <c r="BD87" s="2">
        <f t="shared" si="53"/>
        <v>0</v>
      </c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>
        <f>ROUND(SUMIF(AA62:AA85,"=65170852",FQ62:FQ85),2)</f>
        <v>0</v>
      </c>
      <c r="BY87" s="2">
        <f>ROUND(SUMIF(AA62:AA85,"=65170852",FR62:FR85),2)</f>
        <v>0</v>
      </c>
      <c r="BZ87" s="2">
        <f>ROUND(SUMIF(AA62:AA85,"=65170852",GL62:GL85),2)</f>
        <v>0</v>
      </c>
      <c r="CA87" s="2">
        <f>ROUND(SUMIF(AA62:AA85,"=65170852",GM62:GM85),2)</f>
        <v>181247.17</v>
      </c>
      <c r="CB87" s="2">
        <f>ROUND(SUMIF(AA62:AA85,"=65170852",GN62:GN85),2)</f>
        <v>181247.17</v>
      </c>
      <c r="CC87" s="2">
        <f>ROUND(SUMIF(AA62:AA85,"=65170852",GO62:GO85),2)</f>
        <v>0</v>
      </c>
      <c r="CD87" s="2">
        <f>ROUND(SUMIF(AA62:AA85,"=65170852",GP62:GP85),2)</f>
        <v>0</v>
      </c>
      <c r="CE87" s="2">
        <f>AC87-BX87</f>
        <v>59956.32</v>
      </c>
      <c r="CF87" s="2">
        <f>AC87-BY87</f>
        <v>59956.32</v>
      </c>
      <c r="CG87" s="2">
        <f>BX87-BZ87</f>
        <v>0</v>
      </c>
      <c r="CH87" s="2">
        <f>AC87-BX87-BY87+BZ87</f>
        <v>59956.32</v>
      </c>
      <c r="CI87" s="2">
        <f>BY87-BZ87</f>
        <v>0</v>
      </c>
      <c r="CJ87" s="2">
        <f>ROUND(SUMIF(AA62:AA85,"=65170852",GX62:GX85),2)</f>
        <v>0</v>
      </c>
      <c r="CK87" s="2">
        <f>ROUND(SUMIF(AA62:AA85,"=65170852",GY62:GY85),2)</f>
        <v>0</v>
      </c>
      <c r="CL87" s="2">
        <f>ROUND(SUMIF(AA62:AA85,"=65170852",GZ62:GZ85),2)</f>
        <v>0</v>
      </c>
      <c r="CM87" s="2">
        <f>ROUND(SUMIF(AA62:AA85,"=65170852",HD62:HD85),2)</f>
        <v>0</v>
      </c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>
        <v>0</v>
      </c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201</v>
      </c>
      <c r="F89" s="4">
        <f>ROUND(Source!O87,O89)</f>
        <v>111926.38</v>
      </c>
      <c r="G89" s="4" t="s">
        <v>16</v>
      </c>
      <c r="H89" s="4" t="s">
        <v>17</v>
      </c>
      <c r="I89" s="4"/>
      <c r="J89" s="4"/>
      <c r="K89" s="4">
        <v>201</v>
      </c>
      <c r="L89" s="4">
        <v>1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111926.38</v>
      </c>
      <c r="X89" s="4">
        <v>1</v>
      </c>
      <c r="Y89" s="4">
        <v>111926.38</v>
      </c>
      <c r="Z89" s="4"/>
      <c r="AA89" s="4"/>
      <c r="AB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202</v>
      </c>
      <c r="F90" s="4">
        <f>ROUND(Source!P87,O90)</f>
        <v>59956.32</v>
      </c>
      <c r="G90" s="4" t="s">
        <v>18</v>
      </c>
      <c r="H90" s="4" t="s">
        <v>19</v>
      </c>
      <c r="I90" s="4"/>
      <c r="J90" s="4"/>
      <c r="K90" s="4">
        <v>202</v>
      </c>
      <c r="L90" s="4">
        <v>2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59956.32</v>
      </c>
      <c r="X90" s="4">
        <v>1</v>
      </c>
      <c r="Y90" s="4">
        <v>59956.32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222</v>
      </c>
      <c r="F91" s="4">
        <f>ROUND(Source!AO87,O91)</f>
        <v>0</v>
      </c>
      <c r="G91" s="4" t="s">
        <v>20</v>
      </c>
      <c r="H91" s="4" t="s">
        <v>21</v>
      </c>
      <c r="I91" s="4"/>
      <c r="J91" s="4"/>
      <c r="K91" s="4">
        <v>222</v>
      </c>
      <c r="L91" s="4">
        <v>3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225</v>
      </c>
      <c r="F92" s="4">
        <f>ROUND(Source!AV87,O92)</f>
        <v>59956.32</v>
      </c>
      <c r="G92" s="4" t="s">
        <v>22</v>
      </c>
      <c r="H92" s="4" t="s">
        <v>23</v>
      </c>
      <c r="I92" s="4"/>
      <c r="J92" s="4"/>
      <c r="K92" s="4">
        <v>225</v>
      </c>
      <c r="L92" s="4">
        <v>4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59956.32</v>
      </c>
      <c r="X92" s="4">
        <v>1</v>
      </c>
      <c r="Y92" s="4">
        <v>59956.32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226</v>
      </c>
      <c r="F93" s="4">
        <f>ROUND(Source!AW87,O93)</f>
        <v>59956.32</v>
      </c>
      <c r="G93" s="4" t="s">
        <v>24</v>
      </c>
      <c r="H93" s="4" t="s">
        <v>25</v>
      </c>
      <c r="I93" s="4"/>
      <c r="J93" s="4"/>
      <c r="K93" s="4">
        <v>226</v>
      </c>
      <c r="L93" s="4">
        <v>5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59956.32</v>
      </c>
      <c r="X93" s="4">
        <v>1</v>
      </c>
      <c r="Y93" s="4">
        <v>59956.32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227</v>
      </c>
      <c r="F94" s="4">
        <f>ROUND(Source!AX87,O94)</f>
        <v>0</v>
      </c>
      <c r="G94" s="4" t="s">
        <v>26</v>
      </c>
      <c r="H94" s="4" t="s">
        <v>27</v>
      </c>
      <c r="I94" s="4"/>
      <c r="J94" s="4"/>
      <c r="K94" s="4">
        <v>227</v>
      </c>
      <c r="L94" s="4">
        <v>6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228</v>
      </c>
      <c r="F95" s="4">
        <f>ROUND(Source!AY87,O95)</f>
        <v>59956.32</v>
      </c>
      <c r="G95" s="4" t="s">
        <v>28</v>
      </c>
      <c r="H95" s="4" t="s">
        <v>29</v>
      </c>
      <c r="I95" s="4"/>
      <c r="J95" s="4"/>
      <c r="K95" s="4">
        <v>228</v>
      </c>
      <c r="L95" s="4">
        <v>7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59956.32</v>
      </c>
      <c r="X95" s="4">
        <v>1</v>
      </c>
      <c r="Y95" s="4">
        <v>59956.32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216</v>
      </c>
      <c r="F96" s="4">
        <f>ROUND(Source!AP87,O96)</f>
        <v>0</v>
      </c>
      <c r="G96" s="4" t="s">
        <v>30</v>
      </c>
      <c r="H96" s="4" t="s">
        <v>31</v>
      </c>
      <c r="I96" s="4"/>
      <c r="J96" s="4"/>
      <c r="K96" s="4">
        <v>216</v>
      </c>
      <c r="L96" s="4">
        <v>8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223</v>
      </c>
      <c r="F97" s="4">
        <f>ROUND(Source!AQ87,O97)</f>
        <v>0</v>
      </c>
      <c r="G97" s="4" t="s">
        <v>32</v>
      </c>
      <c r="H97" s="4" t="s">
        <v>33</v>
      </c>
      <c r="I97" s="4"/>
      <c r="J97" s="4"/>
      <c r="K97" s="4">
        <v>223</v>
      </c>
      <c r="L97" s="4">
        <v>9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229</v>
      </c>
      <c r="F98" s="4">
        <f>ROUND(Source!AZ87,O98)</f>
        <v>0</v>
      </c>
      <c r="G98" s="4" t="s">
        <v>34</v>
      </c>
      <c r="H98" s="4" t="s">
        <v>35</v>
      </c>
      <c r="I98" s="4"/>
      <c r="J98" s="4"/>
      <c r="K98" s="4">
        <v>229</v>
      </c>
      <c r="L98" s="4">
        <v>10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203</v>
      </c>
      <c r="F99" s="4">
        <f>ROUND(Source!Q87,O99)</f>
        <v>10085.27</v>
      </c>
      <c r="G99" s="4" t="s">
        <v>36</v>
      </c>
      <c r="H99" s="4" t="s">
        <v>37</v>
      </c>
      <c r="I99" s="4"/>
      <c r="J99" s="4"/>
      <c r="K99" s="4">
        <v>203</v>
      </c>
      <c r="L99" s="4">
        <v>11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10085.27</v>
      </c>
      <c r="X99" s="4">
        <v>1</v>
      </c>
      <c r="Y99" s="4">
        <v>10085.27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231</v>
      </c>
      <c r="F100" s="4">
        <f>ROUND(Source!BB87,O100)</f>
        <v>0</v>
      </c>
      <c r="G100" s="4" t="s">
        <v>38</v>
      </c>
      <c r="H100" s="4" t="s">
        <v>39</v>
      </c>
      <c r="I100" s="4"/>
      <c r="J100" s="4"/>
      <c r="K100" s="4">
        <v>231</v>
      </c>
      <c r="L100" s="4">
        <v>12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204</v>
      </c>
      <c r="F101" s="4">
        <f>ROUND(Source!R87,O101)</f>
        <v>4219.57</v>
      </c>
      <c r="G101" s="4" t="s">
        <v>40</v>
      </c>
      <c r="H101" s="4" t="s">
        <v>41</v>
      </c>
      <c r="I101" s="4"/>
      <c r="J101" s="4"/>
      <c r="K101" s="4">
        <v>204</v>
      </c>
      <c r="L101" s="4">
        <v>13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4219.57</v>
      </c>
      <c r="X101" s="4">
        <v>1</v>
      </c>
      <c r="Y101" s="4">
        <v>4219.57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205</v>
      </c>
      <c r="F102" s="4">
        <f>ROUND(Source!S87,O102)</f>
        <v>37665.22</v>
      </c>
      <c r="G102" s="4" t="s">
        <v>42</v>
      </c>
      <c r="H102" s="4" t="s">
        <v>43</v>
      </c>
      <c r="I102" s="4"/>
      <c r="J102" s="4"/>
      <c r="K102" s="4">
        <v>205</v>
      </c>
      <c r="L102" s="4">
        <v>14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37665.22</v>
      </c>
      <c r="X102" s="4">
        <v>1</v>
      </c>
      <c r="Y102" s="4">
        <v>37665.22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232</v>
      </c>
      <c r="F103" s="4">
        <f>ROUND(Source!BC87,O103)</f>
        <v>0</v>
      </c>
      <c r="G103" s="4" t="s">
        <v>44</v>
      </c>
      <c r="H103" s="4" t="s">
        <v>45</v>
      </c>
      <c r="I103" s="4"/>
      <c r="J103" s="4"/>
      <c r="K103" s="4">
        <v>232</v>
      </c>
      <c r="L103" s="4">
        <v>15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214</v>
      </c>
      <c r="F104" s="4">
        <f>ROUND(Source!AS87,O104)</f>
        <v>181247.17</v>
      </c>
      <c r="G104" s="4" t="s">
        <v>46</v>
      </c>
      <c r="H104" s="4" t="s">
        <v>47</v>
      </c>
      <c r="I104" s="4"/>
      <c r="J104" s="4"/>
      <c r="K104" s="4">
        <v>214</v>
      </c>
      <c r="L104" s="4">
        <v>16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181247.17</v>
      </c>
      <c r="X104" s="4">
        <v>1</v>
      </c>
      <c r="Y104" s="4">
        <v>181247.17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215</v>
      </c>
      <c r="F105" s="4">
        <f>ROUND(Source!AT87,O105)</f>
        <v>0</v>
      </c>
      <c r="G105" s="4" t="s">
        <v>48</v>
      </c>
      <c r="H105" s="4" t="s">
        <v>49</v>
      </c>
      <c r="I105" s="4"/>
      <c r="J105" s="4"/>
      <c r="K105" s="4">
        <v>215</v>
      </c>
      <c r="L105" s="4">
        <v>17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217</v>
      </c>
      <c r="F106" s="4">
        <f>ROUND(Source!AU87,O106)</f>
        <v>0</v>
      </c>
      <c r="G106" s="4" t="s">
        <v>50</v>
      </c>
      <c r="H106" s="4" t="s">
        <v>51</v>
      </c>
      <c r="I106" s="4"/>
      <c r="J106" s="4"/>
      <c r="K106" s="4">
        <v>217</v>
      </c>
      <c r="L106" s="4">
        <v>18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230</v>
      </c>
      <c r="F107" s="4">
        <f>ROUND(Source!BA87,O107)</f>
        <v>0</v>
      </c>
      <c r="G107" s="4" t="s">
        <v>52</v>
      </c>
      <c r="H107" s="4" t="s">
        <v>53</v>
      </c>
      <c r="I107" s="4"/>
      <c r="J107" s="4"/>
      <c r="K107" s="4">
        <v>230</v>
      </c>
      <c r="L107" s="4">
        <v>19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206</v>
      </c>
      <c r="F108" s="4">
        <f>ROUND(Source!T87,O108)</f>
        <v>0</v>
      </c>
      <c r="G108" s="4" t="s">
        <v>54</v>
      </c>
      <c r="H108" s="4" t="s">
        <v>55</v>
      </c>
      <c r="I108" s="4"/>
      <c r="J108" s="4"/>
      <c r="K108" s="4">
        <v>206</v>
      </c>
      <c r="L108" s="4">
        <v>20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207</v>
      </c>
      <c r="F109" s="4">
        <f>ROUND(Source!U87,O109)</f>
        <v>83.959238400000004</v>
      </c>
      <c r="G109" s="4" t="s">
        <v>56</v>
      </c>
      <c r="H109" s="4" t="s">
        <v>57</v>
      </c>
      <c r="I109" s="4"/>
      <c r="J109" s="4"/>
      <c r="K109" s="4">
        <v>207</v>
      </c>
      <c r="L109" s="4">
        <v>21</v>
      </c>
      <c r="M109" s="4">
        <v>3</v>
      </c>
      <c r="N109" s="4" t="s">
        <v>3</v>
      </c>
      <c r="O109" s="4">
        <v>7</v>
      </c>
      <c r="P109" s="4"/>
      <c r="Q109" s="4"/>
      <c r="R109" s="4"/>
      <c r="S109" s="4"/>
      <c r="T109" s="4"/>
      <c r="U109" s="4"/>
      <c r="V109" s="4"/>
      <c r="W109" s="4">
        <v>83.959238400000004</v>
      </c>
      <c r="X109" s="4">
        <v>1</v>
      </c>
      <c r="Y109" s="4">
        <v>83.959238400000004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208</v>
      </c>
      <c r="F110" s="4">
        <f>ROUND(Source!V87,O110)</f>
        <v>7.5584420000000003</v>
      </c>
      <c r="G110" s="4" t="s">
        <v>58</v>
      </c>
      <c r="H110" s="4" t="s">
        <v>59</v>
      </c>
      <c r="I110" s="4"/>
      <c r="J110" s="4"/>
      <c r="K110" s="4">
        <v>208</v>
      </c>
      <c r="L110" s="4">
        <v>22</v>
      </c>
      <c r="M110" s="4">
        <v>3</v>
      </c>
      <c r="N110" s="4" t="s">
        <v>3</v>
      </c>
      <c r="O110" s="4">
        <v>7</v>
      </c>
      <c r="P110" s="4"/>
      <c r="Q110" s="4"/>
      <c r="R110" s="4"/>
      <c r="S110" s="4"/>
      <c r="T110" s="4"/>
      <c r="U110" s="4"/>
      <c r="V110" s="4"/>
      <c r="W110" s="4">
        <v>7.5584420000000003</v>
      </c>
      <c r="X110" s="4">
        <v>1</v>
      </c>
      <c r="Y110" s="4">
        <v>7.5584420000000003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209</v>
      </c>
      <c r="F111" s="4">
        <f>ROUND(Source!W87,O111)</f>
        <v>0</v>
      </c>
      <c r="G111" s="4" t="s">
        <v>60</v>
      </c>
      <c r="H111" s="4" t="s">
        <v>61</v>
      </c>
      <c r="I111" s="4"/>
      <c r="J111" s="4"/>
      <c r="K111" s="4">
        <v>209</v>
      </c>
      <c r="L111" s="4">
        <v>23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233</v>
      </c>
      <c r="F112" s="4">
        <f>ROUND(Source!BD87,O112)</f>
        <v>0</v>
      </c>
      <c r="G112" s="4" t="s">
        <v>62</v>
      </c>
      <c r="H112" s="4" t="s">
        <v>63</v>
      </c>
      <c r="I112" s="4"/>
      <c r="J112" s="4"/>
      <c r="K112" s="4">
        <v>233</v>
      </c>
      <c r="L112" s="4">
        <v>24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210</v>
      </c>
      <c r="F113" s="4">
        <f>ROUND(Source!X87,O113)</f>
        <v>43200.29</v>
      </c>
      <c r="G113" s="4" t="s">
        <v>64</v>
      </c>
      <c r="H113" s="4" t="s">
        <v>65</v>
      </c>
      <c r="I113" s="4"/>
      <c r="J113" s="4"/>
      <c r="K113" s="4">
        <v>210</v>
      </c>
      <c r="L113" s="4">
        <v>25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43200.29</v>
      </c>
      <c r="X113" s="4">
        <v>1</v>
      </c>
      <c r="Y113" s="4">
        <v>43200.29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211</v>
      </c>
      <c r="F114" s="4">
        <f>ROUND(Source!Y87,O114)</f>
        <v>26120.5</v>
      </c>
      <c r="G114" s="4" t="s">
        <v>66</v>
      </c>
      <c r="H114" s="4" t="s">
        <v>67</v>
      </c>
      <c r="I114" s="4"/>
      <c r="J114" s="4"/>
      <c r="K114" s="4">
        <v>211</v>
      </c>
      <c r="L114" s="4">
        <v>26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26120.5</v>
      </c>
      <c r="X114" s="4">
        <v>1</v>
      </c>
      <c r="Y114" s="4">
        <v>26120.5</v>
      </c>
      <c r="Z114" s="4"/>
      <c r="AA114" s="4"/>
      <c r="AB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224</v>
      </c>
      <c r="F115" s="4">
        <f>ROUND(Source!AR87,O115)</f>
        <v>181247.17</v>
      </c>
      <c r="G115" s="4" t="s">
        <v>68</v>
      </c>
      <c r="H115" s="4" t="s">
        <v>69</v>
      </c>
      <c r="I115" s="4"/>
      <c r="J115" s="4"/>
      <c r="K115" s="4">
        <v>224</v>
      </c>
      <c r="L115" s="4">
        <v>27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181247.17</v>
      </c>
      <c r="X115" s="4">
        <v>1</v>
      </c>
      <c r="Y115" s="4">
        <v>181247.17</v>
      </c>
      <c r="Z115" s="4"/>
      <c r="AA115" s="4"/>
      <c r="AB115" s="4"/>
    </row>
    <row r="117" spans="1:245" x14ac:dyDescent="0.2">
      <c r="A117" s="1">
        <v>4</v>
      </c>
      <c r="B117" s="1">
        <v>1</v>
      </c>
      <c r="C117" s="1"/>
      <c r="D117" s="1">
        <f>ROW(A129)</f>
        <v>129</v>
      </c>
      <c r="E117" s="1"/>
      <c r="F117" s="1" t="s">
        <v>71</v>
      </c>
      <c r="G117" s="1" t="s">
        <v>216</v>
      </c>
      <c r="H117" s="1" t="s">
        <v>3</v>
      </c>
      <c r="I117" s="1">
        <v>0</v>
      </c>
      <c r="J117" s="1"/>
      <c r="K117" s="1">
        <v>0</v>
      </c>
      <c r="L117" s="1"/>
      <c r="M117" s="1" t="s">
        <v>3</v>
      </c>
      <c r="N117" s="1"/>
      <c r="O117" s="1"/>
      <c r="P117" s="1"/>
      <c r="Q117" s="1"/>
      <c r="R117" s="1"/>
      <c r="S117" s="1">
        <v>0</v>
      </c>
      <c r="T117" s="1"/>
      <c r="U117" s="1" t="s">
        <v>3</v>
      </c>
      <c r="V117" s="1">
        <v>0</v>
      </c>
      <c r="W117" s="1"/>
      <c r="X117" s="1"/>
      <c r="Y117" s="1"/>
      <c r="Z117" s="1"/>
      <c r="AA117" s="1"/>
      <c r="AB117" s="1" t="s">
        <v>3</v>
      </c>
      <c r="AC117" s="1" t="s">
        <v>3</v>
      </c>
      <c r="AD117" s="1" t="s">
        <v>3</v>
      </c>
      <c r="AE117" s="1" t="s">
        <v>3</v>
      </c>
      <c r="AF117" s="1" t="s">
        <v>3</v>
      </c>
      <c r="AG117" s="1" t="s">
        <v>3</v>
      </c>
      <c r="AH117" s="1"/>
      <c r="AI117" s="1"/>
      <c r="AJ117" s="1"/>
      <c r="AK117" s="1"/>
      <c r="AL117" s="1"/>
      <c r="AM117" s="1"/>
      <c r="AN117" s="1"/>
      <c r="AO117" s="1"/>
      <c r="AP117" s="1" t="s">
        <v>3</v>
      </c>
      <c r="AQ117" s="1" t="s">
        <v>3</v>
      </c>
      <c r="AR117" s="1" t="s">
        <v>3</v>
      </c>
      <c r="AS117" s="1"/>
      <c r="AT117" s="1"/>
      <c r="AU117" s="1"/>
      <c r="AV117" s="1"/>
      <c r="AW117" s="1"/>
      <c r="AX117" s="1"/>
      <c r="AY117" s="1"/>
      <c r="AZ117" s="1" t="s">
        <v>3</v>
      </c>
      <c r="BA117" s="1"/>
      <c r="BB117" s="1" t="s">
        <v>3</v>
      </c>
      <c r="BC117" s="1" t="s">
        <v>3</v>
      </c>
      <c r="BD117" s="1" t="s">
        <v>3</v>
      </c>
      <c r="BE117" s="1" t="s">
        <v>3</v>
      </c>
      <c r="BF117" s="1" t="s">
        <v>3</v>
      </c>
      <c r="BG117" s="1" t="s">
        <v>3</v>
      </c>
      <c r="BH117" s="1" t="s">
        <v>3</v>
      </c>
      <c r="BI117" s="1" t="s">
        <v>3</v>
      </c>
      <c r="BJ117" s="1" t="s">
        <v>3</v>
      </c>
      <c r="BK117" s="1" t="s">
        <v>3</v>
      </c>
      <c r="BL117" s="1" t="s">
        <v>3</v>
      </c>
      <c r="BM117" s="1" t="s">
        <v>3</v>
      </c>
      <c r="BN117" s="1" t="s">
        <v>3</v>
      </c>
      <c r="BO117" s="1" t="s">
        <v>3</v>
      </c>
      <c r="BP117" s="1" t="s">
        <v>3</v>
      </c>
      <c r="BQ117" s="1"/>
      <c r="BR117" s="1"/>
      <c r="BS117" s="1"/>
      <c r="BT117" s="1"/>
      <c r="BU117" s="1"/>
      <c r="BV117" s="1"/>
      <c r="BW117" s="1"/>
      <c r="BX117" s="1">
        <v>0</v>
      </c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>
        <v>0</v>
      </c>
    </row>
    <row r="119" spans="1:245" x14ac:dyDescent="0.2">
      <c r="A119" s="2">
        <v>52</v>
      </c>
      <c r="B119" s="2">
        <f t="shared" ref="B119:G119" si="54">B129</f>
        <v>1</v>
      </c>
      <c r="C119" s="2">
        <f t="shared" si="54"/>
        <v>4</v>
      </c>
      <c r="D119" s="2">
        <f t="shared" si="54"/>
        <v>117</v>
      </c>
      <c r="E119" s="2">
        <f t="shared" si="54"/>
        <v>0</v>
      </c>
      <c r="F119" s="2" t="str">
        <f t="shared" si="54"/>
        <v>Новый раздел</v>
      </c>
      <c r="G119" s="2" t="str">
        <f t="shared" si="54"/>
        <v>Демонтажные работы</v>
      </c>
      <c r="H119" s="2"/>
      <c r="I119" s="2"/>
      <c r="J119" s="2"/>
      <c r="K119" s="2"/>
      <c r="L119" s="2"/>
      <c r="M119" s="2"/>
      <c r="N119" s="2"/>
      <c r="O119" s="2">
        <f t="shared" ref="O119:AT119" si="55">O129</f>
        <v>17277.12</v>
      </c>
      <c r="P119" s="2">
        <f t="shared" si="55"/>
        <v>0</v>
      </c>
      <c r="Q119" s="2">
        <f t="shared" si="55"/>
        <v>4452.7299999999996</v>
      </c>
      <c r="R119" s="2">
        <f t="shared" si="55"/>
        <v>2100.5100000000002</v>
      </c>
      <c r="S119" s="2">
        <f t="shared" si="55"/>
        <v>10723.88</v>
      </c>
      <c r="T119" s="2">
        <f t="shared" si="55"/>
        <v>0</v>
      </c>
      <c r="U119" s="2">
        <f t="shared" si="55"/>
        <v>21.873839999999998</v>
      </c>
      <c r="V119" s="2">
        <f t="shared" si="55"/>
        <v>3.4168800000000004</v>
      </c>
      <c r="W119" s="2">
        <f t="shared" si="55"/>
        <v>0</v>
      </c>
      <c r="X119" s="2">
        <f t="shared" si="55"/>
        <v>12527.69</v>
      </c>
      <c r="Y119" s="2">
        <f t="shared" si="55"/>
        <v>6672.53</v>
      </c>
      <c r="Z119" s="2">
        <f t="shared" si="55"/>
        <v>0</v>
      </c>
      <c r="AA119" s="2">
        <f t="shared" si="55"/>
        <v>0</v>
      </c>
      <c r="AB119" s="2">
        <f t="shared" si="55"/>
        <v>17277.12</v>
      </c>
      <c r="AC119" s="2">
        <f t="shared" si="55"/>
        <v>0</v>
      </c>
      <c r="AD119" s="2">
        <f t="shared" si="55"/>
        <v>4452.7299999999996</v>
      </c>
      <c r="AE119" s="2">
        <f t="shared" si="55"/>
        <v>2100.5100000000002</v>
      </c>
      <c r="AF119" s="2">
        <f t="shared" si="55"/>
        <v>10723.88</v>
      </c>
      <c r="AG119" s="2">
        <f t="shared" si="55"/>
        <v>0</v>
      </c>
      <c r="AH119" s="2">
        <f t="shared" si="55"/>
        <v>21.873839999999998</v>
      </c>
      <c r="AI119" s="2">
        <f t="shared" si="55"/>
        <v>3.4168800000000004</v>
      </c>
      <c r="AJ119" s="2">
        <f t="shared" si="55"/>
        <v>0</v>
      </c>
      <c r="AK119" s="2">
        <f t="shared" si="55"/>
        <v>12527.69</v>
      </c>
      <c r="AL119" s="2">
        <f t="shared" si="55"/>
        <v>6672.53</v>
      </c>
      <c r="AM119" s="2">
        <f t="shared" si="55"/>
        <v>0</v>
      </c>
      <c r="AN119" s="2">
        <f t="shared" si="55"/>
        <v>0</v>
      </c>
      <c r="AO119" s="2">
        <f t="shared" si="55"/>
        <v>0</v>
      </c>
      <c r="AP119" s="2">
        <f t="shared" si="55"/>
        <v>0</v>
      </c>
      <c r="AQ119" s="2">
        <f t="shared" si="55"/>
        <v>0</v>
      </c>
      <c r="AR119" s="2">
        <f t="shared" si="55"/>
        <v>36477.339999999997</v>
      </c>
      <c r="AS119" s="2">
        <f t="shared" si="55"/>
        <v>4246.5</v>
      </c>
      <c r="AT119" s="2">
        <f t="shared" si="55"/>
        <v>32230.84</v>
      </c>
      <c r="AU119" s="2">
        <f t="shared" ref="AU119:BZ119" si="56">AU129</f>
        <v>0</v>
      </c>
      <c r="AV119" s="2">
        <f t="shared" si="56"/>
        <v>0</v>
      </c>
      <c r="AW119" s="2">
        <f t="shared" si="56"/>
        <v>0</v>
      </c>
      <c r="AX119" s="2">
        <f t="shared" si="56"/>
        <v>0</v>
      </c>
      <c r="AY119" s="2">
        <f t="shared" si="56"/>
        <v>0</v>
      </c>
      <c r="AZ119" s="2">
        <f t="shared" si="56"/>
        <v>0</v>
      </c>
      <c r="BA119" s="2">
        <f t="shared" si="56"/>
        <v>0</v>
      </c>
      <c r="BB119" s="2">
        <f t="shared" si="56"/>
        <v>0</v>
      </c>
      <c r="BC119" s="2">
        <f t="shared" si="56"/>
        <v>0</v>
      </c>
      <c r="BD119" s="2">
        <f t="shared" si="56"/>
        <v>0</v>
      </c>
      <c r="BE119" s="2">
        <f t="shared" si="56"/>
        <v>0</v>
      </c>
      <c r="BF119" s="2">
        <f t="shared" si="56"/>
        <v>0</v>
      </c>
      <c r="BG119" s="2">
        <f t="shared" si="56"/>
        <v>0</v>
      </c>
      <c r="BH119" s="2">
        <f t="shared" si="56"/>
        <v>0</v>
      </c>
      <c r="BI119" s="2">
        <f t="shared" si="56"/>
        <v>0</v>
      </c>
      <c r="BJ119" s="2">
        <f t="shared" si="56"/>
        <v>0</v>
      </c>
      <c r="BK119" s="2">
        <f t="shared" si="56"/>
        <v>0</v>
      </c>
      <c r="BL119" s="2">
        <f t="shared" si="56"/>
        <v>0</v>
      </c>
      <c r="BM119" s="2">
        <f t="shared" si="56"/>
        <v>0</v>
      </c>
      <c r="BN119" s="2">
        <f t="shared" si="56"/>
        <v>0</v>
      </c>
      <c r="BO119" s="2">
        <f t="shared" si="56"/>
        <v>0</v>
      </c>
      <c r="BP119" s="2">
        <f t="shared" si="56"/>
        <v>0</v>
      </c>
      <c r="BQ119" s="2">
        <f t="shared" si="56"/>
        <v>0</v>
      </c>
      <c r="BR119" s="2">
        <f t="shared" si="56"/>
        <v>0</v>
      </c>
      <c r="BS119" s="2">
        <f t="shared" si="56"/>
        <v>0</v>
      </c>
      <c r="BT119" s="2">
        <f t="shared" si="56"/>
        <v>0</v>
      </c>
      <c r="BU119" s="2">
        <f t="shared" si="56"/>
        <v>0</v>
      </c>
      <c r="BV119" s="2">
        <f t="shared" si="56"/>
        <v>0</v>
      </c>
      <c r="BW119" s="2">
        <f t="shared" si="56"/>
        <v>0</v>
      </c>
      <c r="BX119" s="2">
        <f t="shared" si="56"/>
        <v>0</v>
      </c>
      <c r="BY119" s="2">
        <f t="shared" si="56"/>
        <v>0</v>
      </c>
      <c r="BZ119" s="2">
        <f t="shared" si="56"/>
        <v>0</v>
      </c>
      <c r="CA119" s="2">
        <f t="shared" ref="CA119:DF119" si="57">CA129</f>
        <v>36477.339999999997</v>
      </c>
      <c r="CB119" s="2">
        <f t="shared" si="57"/>
        <v>4246.5</v>
      </c>
      <c r="CC119" s="2">
        <f t="shared" si="57"/>
        <v>32230.84</v>
      </c>
      <c r="CD119" s="2">
        <f t="shared" si="57"/>
        <v>0</v>
      </c>
      <c r="CE119" s="2">
        <f t="shared" si="57"/>
        <v>0</v>
      </c>
      <c r="CF119" s="2">
        <f t="shared" si="57"/>
        <v>0</v>
      </c>
      <c r="CG119" s="2">
        <f t="shared" si="57"/>
        <v>0</v>
      </c>
      <c r="CH119" s="2">
        <f t="shared" si="57"/>
        <v>0</v>
      </c>
      <c r="CI119" s="2">
        <f t="shared" si="57"/>
        <v>0</v>
      </c>
      <c r="CJ119" s="2">
        <f t="shared" si="57"/>
        <v>0</v>
      </c>
      <c r="CK119" s="2">
        <f t="shared" si="57"/>
        <v>0</v>
      </c>
      <c r="CL119" s="2">
        <f t="shared" si="57"/>
        <v>0</v>
      </c>
      <c r="CM119" s="2">
        <f t="shared" si="57"/>
        <v>0</v>
      </c>
      <c r="CN119" s="2">
        <f t="shared" si="57"/>
        <v>0</v>
      </c>
      <c r="CO119" s="2">
        <f t="shared" si="57"/>
        <v>0</v>
      </c>
      <c r="CP119" s="2">
        <f t="shared" si="57"/>
        <v>0</v>
      </c>
      <c r="CQ119" s="2">
        <f t="shared" si="57"/>
        <v>0</v>
      </c>
      <c r="CR119" s="2">
        <f t="shared" si="57"/>
        <v>0</v>
      </c>
      <c r="CS119" s="2">
        <f t="shared" si="57"/>
        <v>0</v>
      </c>
      <c r="CT119" s="2">
        <f t="shared" si="57"/>
        <v>0</v>
      </c>
      <c r="CU119" s="2">
        <f t="shared" si="57"/>
        <v>0</v>
      </c>
      <c r="CV119" s="2">
        <f t="shared" si="57"/>
        <v>0</v>
      </c>
      <c r="CW119" s="2">
        <f t="shared" si="57"/>
        <v>0</v>
      </c>
      <c r="CX119" s="2">
        <f t="shared" si="57"/>
        <v>0</v>
      </c>
      <c r="CY119" s="2">
        <f t="shared" si="57"/>
        <v>0</v>
      </c>
      <c r="CZ119" s="2">
        <f t="shared" si="57"/>
        <v>0</v>
      </c>
      <c r="DA119" s="2">
        <f t="shared" si="57"/>
        <v>0</v>
      </c>
      <c r="DB119" s="2">
        <f t="shared" si="57"/>
        <v>0</v>
      </c>
      <c r="DC119" s="2">
        <f t="shared" si="57"/>
        <v>0</v>
      </c>
      <c r="DD119" s="2">
        <f t="shared" si="57"/>
        <v>0</v>
      </c>
      <c r="DE119" s="2">
        <f t="shared" si="57"/>
        <v>0</v>
      </c>
      <c r="DF119" s="2">
        <f t="shared" si="57"/>
        <v>0</v>
      </c>
      <c r="DG119" s="3">
        <f t="shared" ref="DG119:EL119" si="58">DG129</f>
        <v>0</v>
      </c>
      <c r="DH119" s="3">
        <f t="shared" si="58"/>
        <v>0</v>
      </c>
      <c r="DI119" s="3">
        <f t="shared" si="58"/>
        <v>0</v>
      </c>
      <c r="DJ119" s="3">
        <f t="shared" si="58"/>
        <v>0</v>
      </c>
      <c r="DK119" s="3">
        <f t="shared" si="58"/>
        <v>0</v>
      </c>
      <c r="DL119" s="3">
        <f t="shared" si="58"/>
        <v>0</v>
      </c>
      <c r="DM119" s="3">
        <f t="shared" si="58"/>
        <v>0</v>
      </c>
      <c r="DN119" s="3">
        <f t="shared" si="58"/>
        <v>0</v>
      </c>
      <c r="DO119" s="3">
        <f t="shared" si="58"/>
        <v>0</v>
      </c>
      <c r="DP119" s="3">
        <f t="shared" si="58"/>
        <v>0</v>
      </c>
      <c r="DQ119" s="3">
        <f t="shared" si="58"/>
        <v>0</v>
      </c>
      <c r="DR119" s="3">
        <f t="shared" si="58"/>
        <v>0</v>
      </c>
      <c r="DS119" s="3">
        <f t="shared" si="58"/>
        <v>0</v>
      </c>
      <c r="DT119" s="3">
        <f t="shared" si="58"/>
        <v>0</v>
      </c>
      <c r="DU119" s="3">
        <f t="shared" si="58"/>
        <v>0</v>
      </c>
      <c r="DV119" s="3">
        <f t="shared" si="58"/>
        <v>0</v>
      </c>
      <c r="DW119" s="3">
        <f t="shared" si="58"/>
        <v>0</v>
      </c>
      <c r="DX119" s="3">
        <f t="shared" si="58"/>
        <v>0</v>
      </c>
      <c r="DY119" s="3">
        <f t="shared" si="58"/>
        <v>0</v>
      </c>
      <c r="DZ119" s="3">
        <f t="shared" si="58"/>
        <v>0</v>
      </c>
      <c r="EA119" s="3">
        <f t="shared" si="58"/>
        <v>0</v>
      </c>
      <c r="EB119" s="3">
        <f t="shared" si="58"/>
        <v>0</v>
      </c>
      <c r="EC119" s="3">
        <f t="shared" si="58"/>
        <v>0</v>
      </c>
      <c r="ED119" s="3">
        <f t="shared" si="58"/>
        <v>0</v>
      </c>
      <c r="EE119" s="3">
        <f t="shared" si="58"/>
        <v>0</v>
      </c>
      <c r="EF119" s="3">
        <f t="shared" si="58"/>
        <v>0</v>
      </c>
      <c r="EG119" s="3">
        <f t="shared" si="58"/>
        <v>0</v>
      </c>
      <c r="EH119" s="3">
        <f t="shared" si="58"/>
        <v>0</v>
      </c>
      <c r="EI119" s="3">
        <f t="shared" si="58"/>
        <v>0</v>
      </c>
      <c r="EJ119" s="3">
        <f t="shared" si="58"/>
        <v>0</v>
      </c>
      <c r="EK119" s="3">
        <f t="shared" si="58"/>
        <v>0</v>
      </c>
      <c r="EL119" s="3">
        <f t="shared" si="58"/>
        <v>0</v>
      </c>
      <c r="EM119" s="3">
        <f t="shared" ref="EM119:FR119" si="59">EM129</f>
        <v>0</v>
      </c>
      <c r="EN119" s="3">
        <f t="shared" si="59"/>
        <v>0</v>
      </c>
      <c r="EO119" s="3">
        <f t="shared" si="59"/>
        <v>0</v>
      </c>
      <c r="EP119" s="3">
        <f t="shared" si="59"/>
        <v>0</v>
      </c>
      <c r="EQ119" s="3">
        <f t="shared" si="59"/>
        <v>0</v>
      </c>
      <c r="ER119" s="3">
        <f t="shared" si="59"/>
        <v>0</v>
      </c>
      <c r="ES119" s="3">
        <f t="shared" si="59"/>
        <v>0</v>
      </c>
      <c r="ET119" s="3">
        <f t="shared" si="59"/>
        <v>0</v>
      </c>
      <c r="EU119" s="3">
        <f t="shared" si="59"/>
        <v>0</v>
      </c>
      <c r="EV119" s="3">
        <f t="shared" si="59"/>
        <v>0</v>
      </c>
      <c r="EW119" s="3">
        <f t="shared" si="59"/>
        <v>0</v>
      </c>
      <c r="EX119" s="3">
        <f t="shared" si="59"/>
        <v>0</v>
      </c>
      <c r="EY119" s="3">
        <f t="shared" si="59"/>
        <v>0</v>
      </c>
      <c r="EZ119" s="3">
        <f t="shared" si="59"/>
        <v>0</v>
      </c>
      <c r="FA119" s="3">
        <f t="shared" si="59"/>
        <v>0</v>
      </c>
      <c r="FB119" s="3">
        <f t="shared" si="59"/>
        <v>0</v>
      </c>
      <c r="FC119" s="3">
        <f t="shared" si="59"/>
        <v>0</v>
      </c>
      <c r="FD119" s="3">
        <f t="shared" si="59"/>
        <v>0</v>
      </c>
      <c r="FE119" s="3">
        <f t="shared" si="59"/>
        <v>0</v>
      </c>
      <c r="FF119" s="3">
        <f t="shared" si="59"/>
        <v>0</v>
      </c>
      <c r="FG119" s="3">
        <f t="shared" si="59"/>
        <v>0</v>
      </c>
      <c r="FH119" s="3">
        <f t="shared" si="59"/>
        <v>0</v>
      </c>
      <c r="FI119" s="3">
        <f t="shared" si="59"/>
        <v>0</v>
      </c>
      <c r="FJ119" s="3">
        <f t="shared" si="59"/>
        <v>0</v>
      </c>
      <c r="FK119" s="3">
        <f t="shared" si="59"/>
        <v>0</v>
      </c>
      <c r="FL119" s="3">
        <f t="shared" si="59"/>
        <v>0</v>
      </c>
      <c r="FM119" s="3">
        <f t="shared" si="59"/>
        <v>0</v>
      </c>
      <c r="FN119" s="3">
        <f t="shared" si="59"/>
        <v>0</v>
      </c>
      <c r="FO119" s="3">
        <f t="shared" si="59"/>
        <v>0</v>
      </c>
      <c r="FP119" s="3">
        <f t="shared" si="59"/>
        <v>0</v>
      </c>
      <c r="FQ119" s="3">
        <f t="shared" si="59"/>
        <v>0</v>
      </c>
      <c r="FR119" s="3">
        <f t="shared" si="59"/>
        <v>0</v>
      </c>
      <c r="FS119" s="3">
        <f t="shared" ref="FS119:GX119" si="60">FS129</f>
        <v>0</v>
      </c>
      <c r="FT119" s="3">
        <f t="shared" si="60"/>
        <v>0</v>
      </c>
      <c r="FU119" s="3">
        <f t="shared" si="60"/>
        <v>0</v>
      </c>
      <c r="FV119" s="3">
        <f t="shared" si="60"/>
        <v>0</v>
      </c>
      <c r="FW119" s="3">
        <f t="shared" si="60"/>
        <v>0</v>
      </c>
      <c r="FX119" s="3">
        <f t="shared" si="60"/>
        <v>0</v>
      </c>
      <c r="FY119" s="3">
        <f t="shared" si="60"/>
        <v>0</v>
      </c>
      <c r="FZ119" s="3">
        <f t="shared" si="60"/>
        <v>0</v>
      </c>
      <c r="GA119" s="3">
        <f t="shared" si="60"/>
        <v>0</v>
      </c>
      <c r="GB119" s="3">
        <f t="shared" si="60"/>
        <v>0</v>
      </c>
      <c r="GC119" s="3">
        <f t="shared" si="60"/>
        <v>0</v>
      </c>
      <c r="GD119" s="3">
        <f t="shared" si="60"/>
        <v>0</v>
      </c>
      <c r="GE119" s="3">
        <f t="shared" si="60"/>
        <v>0</v>
      </c>
      <c r="GF119" s="3">
        <f t="shared" si="60"/>
        <v>0</v>
      </c>
      <c r="GG119" s="3">
        <f t="shared" si="60"/>
        <v>0</v>
      </c>
      <c r="GH119" s="3">
        <f t="shared" si="60"/>
        <v>0</v>
      </c>
      <c r="GI119" s="3">
        <f t="shared" si="60"/>
        <v>0</v>
      </c>
      <c r="GJ119" s="3">
        <f t="shared" si="60"/>
        <v>0</v>
      </c>
      <c r="GK119" s="3">
        <f t="shared" si="60"/>
        <v>0</v>
      </c>
      <c r="GL119" s="3">
        <f t="shared" si="60"/>
        <v>0</v>
      </c>
      <c r="GM119" s="3">
        <f t="shared" si="60"/>
        <v>0</v>
      </c>
      <c r="GN119" s="3">
        <f t="shared" si="60"/>
        <v>0</v>
      </c>
      <c r="GO119" s="3">
        <f t="shared" si="60"/>
        <v>0</v>
      </c>
      <c r="GP119" s="3">
        <f t="shared" si="60"/>
        <v>0</v>
      </c>
      <c r="GQ119" s="3">
        <f t="shared" si="60"/>
        <v>0</v>
      </c>
      <c r="GR119" s="3">
        <f t="shared" si="60"/>
        <v>0</v>
      </c>
      <c r="GS119" s="3">
        <f t="shared" si="60"/>
        <v>0</v>
      </c>
      <c r="GT119" s="3">
        <f t="shared" si="60"/>
        <v>0</v>
      </c>
      <c r="GU119" s="3">
        <f t="shared" si="60"/>
        <v>0</v>
      </c>
      <c r="GV119" s="3">
        <f t="shared" si="60"/>
        <v>0</v>
      </c>
      <c r="GW119" s="3">
        <f t="shared" si="60"/>
        <v>0</v>
      </c>
      <c r="GX119" s="3">
        <f t="shared" si="60"/>
        <v>0</v>
      </c>
    </row>
    <row r="121" spans="1:245" x14ac:dyDescent="0.2">
      <c r="A121">
        <v>17</v>
      </c>
      <c r="B121">
        <v>1</v>
      </c>
      <c r="C121">
        <f>ROW(SmtRes!A144)</f>
        <v>144</v>
      </c>
      <c r="D121">
        <f>ROW(EtalonRes!A139)</f>
        <v>139</v>
      </c>
      <c r="E121" t="s">
        <v>217</v>
      </c>
      <c r="F121" t="s">
        <v>218</v>
      </c>
      <c r="G121" t="s">
        <v>219</v>
      </c>
      <c r="H121" t="s">
        <v>220</v>
      </c>
      <c r="I121">
        <v>1</v>
      </c>
      <c r="J121">
        <v>0</v>
      </c>
      <c r="K121">
        <v>1</v>
      </c>
      <c r="O121">
        <f t="shared" ref="O121:O127" si="61">ROUND(CP121,2)</f>
        <v>8785.4699999999993</v>
      </c>
      <c r="P121">
        <f>SUMIF(SmtRes!AQ135:'SmtRes'!AQ144,"=1",SmtRes!DF135:'SmtRes'!DF144)</f>
        <v>0</v>
      </c>
      <c r="Q121">
        <f>SUMIF(SmtRes!AQ135:'SmtRes'!AQ144,"=1",SmtRes!DG135:'SmtRes'!DG144)</f>
        <v>3244.94</v>
      </c>
      <c r="R121">
        <f>SUMIF(SmtRes!AQ135:'SmtRes'!AQ144,"=1",SmtRes!DH135:'SmtRes'!DH144)</f>
        <v>1449.34</v>
      </c>
      <c r="S121">
        <f>SUMIF(SmtRes!AQ135:'SmtRes'!AQ144,"=1",SmtRes!DI135:'SmtRes'!DI144)</f>
        <v>4091.19</v>
      </c>
      <c r="T121">
        <f t="shared" ref="T121:T127" si="62">ROUND(CU121*I121,2)</f>
        <v>0</v>
      </c>
      <c r="U121">
        <f>SUMIF(SmtRes!AQ135:'SmtRes'!AQ144,"=1",SmtRes!CV135:'SmtRes'!CV144)</f>
        <v>8.34</v>
      </c>
      <c r="V121">
        <f>SUMIF(SmtRes!AQ135:'SmtRes'!AQ144,"=1",SmtRes!CW135:'SmtRes'!CW144)</f>
        <v>2.2800000000000002</v>
      </c>
      <c r="W121">
        <f t="shared" ref="W121:W127" si="63">ROUND(CX121*I121,2)</f>
        <v>0</v>
      </c>
      <c r="X121">
        <f t="shared" ref="X121:Y127" si="64">ROUND(CY121,2)</f>
        <v>5374.31</v>
      </c>
      <c r="Y121">
        <f t="shared" si="64"/>
        <v>2825.67</v>
      </c>
      <c r="AA121">
        <v>65170852</v>
      </c>
      <c r="AB121">
        <f t="shared" ref="AB121:AB127" si="65">ROUND((AC121+AD121+AF121),6)</f>
        <v>7304.5067099999997</v>
      </c>
      <c r="AC121">
        <f t="shared" ref="AC121:AC127" si="66">ROUND((0),6)</f>
        <v>0</v>
      </c>
      <c r="AD121">
        <f>ROUND((((SUM(SmtRes!BR135:'SmtRes'!BR144))-(SUM(SmtRes!BS135:'SmtRes'!BS144)))+AE121),6)</f>
        <v>3213.3197100000002</v>
      </c>
      <c r="AE121">
        <f>ROUND((SUM(SmtRes!BS135:'SmtRes'!BS144)),6)</f>
        <v>1449.3403499999999</v>
      </c>
      <c r="AF121">
        <f>ROUND((SUM(SmtRes!BT135:'SmtRes'!BT144)),6)</f>
        <v>4091.1869999999999</v>
      </c>
      <c r="AG121">
        <f t="shared" ref="AG121:AG127" si="67">ROUND((AP121),6)</f>
        <v>0</v>
      </c>
      <c r="AH121">
        <f>(SUM(SmtRes!BU135:'SmtRes'!BU144))</f>
        <v>8.34</v>
      </c>
      <c r="AI121">
        <f>(SUM(SmtRes!BV135:'SmtRes'!BV144))</f>
        <v>2.2799999999999998</v>
      </c>
      <c r="AJ121">
        <f t="shared" ref="AJ121:AJ127" si="68">(AS121)</f>
        <v>0</v>
      </c>
      <c r="AK121">
        <v>30234.189853200001</v>
      </c>
      <c r="AL121">
        <v>1054.6996531999998</v>
      </c>
      <c r="AM121">
        <v>10711.065700000001</v>
      </c>
      <c r="AN121">
        <v>4831.1345000000001</v>
      </c>
      <c r="AO121">
        <v>13637.29</v>
      </c>
      <c r="AP121">
        <v>0</v>
      </c>
      <c r="AQ121">
        <v>27.8</v>
      </c>
      <c r="AR121">
        <v>7.6</v>
      </c>
      <c r="AS121">
        <v>0</v>
      </c>
      <c r="AT121">
        <v>97</v>
      </c>
      <c r="AU121">
        <v>51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2</v>
      </c>
      <c r="BJ121" t="s">
        <v>221</v>
      </c>
      <c r="BM121">
        <v>108001</v>
      </c>
      <c r="BN121">
        <v>0</v>
      </c>
      <c r="BO121" t="s">
        <v>3</v>
      </c>
      <c r="BP121">
        <v>0</v>
      </c>
      <c r="BQ121">
        <v>3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97</v>
      </c>
      <c r="CA121">
        <v>51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222</v>
      </c>
      <c r="CO121">
        <v>0</v>
      </c>
      <c r="CP121">
        <f t="shared" ref="CP121:CP127" si="69">(P121+Q121+S121+R121)</f>
        <v>8785.4699999999993</v>
      </c>
      <c r="CQ121">
        <f>SUMIF(SmtRes!AQ135:'SmtRes'!AQ144,"=1",SmtRes!AA135:'SmtRes'!AA144)</f>
        <v>863347.07000000007</v>
      </c>
      <c r="CR121">
        <f>SUMIF(SmtRes!AQ135:'SmtRes'!AQ144,"=1",SmtRes!AB135:'SmtRes'!AB144)</f>
        <v>2155.7900000000004</v>
      </c>
      <c r="CS121">
        <f>SUMIF(SmtRes!AQ135:'SmtRes'!AQ144,"=1",SmtRes!AC135:'SmtRes'!AC144)</f>
        <v>1149.49</v>
      </c>
      <c r="CT121">
        <f>SUMIF(SmtRes!AQ135:'SmtRes'!AQ144,"=1",SmtRes!AD135:'SmtRes'!AD144)</f>
        <v>490.55</v>
      </c>
      <c r="CU121">
        <f t="shared" ref="CU121:CU127" si="70">AG121</f>
        <v>0</v>
      </c>
      <c r="CV121">
        <f>SUMIF(SmtRes!AQ135:'SmtRes'!AQ144,"=1",SmtRes!BU135:'SmtRes'!BU144)</f>
        <v>8.34</v>
      </c>
      <c r="CW121">
        <f>SUMIF(SmtRes!AQ135:'SmtRes'!AQ144,"=1",SmtRes!BV135:'SmtRes'!BV144)</f>
        <v>2.2799999999999998</v>
      </c>
      <c r="CX121">
        <f t="shared" ref="CX121:CX127" si="71">AJ121</f>
        <v>0</v>
      </c>
      <c r="CY121">
        <f t="shared" ref="CY121:CY127" si="72">(((S121+R121)*AT121)/100)</f>
        <v>5374.3141000000005</v>
      </c>
      <c r="CZ121">
        <f t="shared" ref="CZ121:CZ127" si="73">(((S121+R121)*AU121)/100)</f>
        <v>2825.6702999999998</v>
      </c>
      <c r="DB121">
        <v>7</v>
      </c>
      <c r="DC121" t="s">
        <v>3</v>
      </c>
      <c r="DD121" t="s">
        <v>97</v>
      </c>
      <c r="DE121" t="s">
        <v>223</v>
      </c>
      <c r="DF121" t="s">
        <v>223</v>
      </c>
      <c r="DG121" t="s">
        <v>223</v>
      </c>
      <c r="DH121" t="s">
        <v>3</v>
      </c>
      <c r="DI121" t="s">
        <v>223</v>
      </c>
      <c r="DJ121" t="s">
        <v>223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220</v>
      </c>
      <c r="DW121" t="s">
        <v>220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64850885</v>
      </c>
      <c r="EF121">
        <v>3</v>
      </c>
      <c r="EG121" t="s">
        <v>224</v>
      </c>
      <c r="EH121">
        <v>0</v>
      </c>
      <c r="EI121" t="s">
        <v>3</v>
      </c>
      <c r="EJ121">
        <v>2</v>
      </c>
      <c r="EK121">
        <v>108001</v>
      </c>
      <c r="EL121" t="s">
        <v>225</v>
      </c>
      <c r="EM121" t="s">
        <v>226</v>
      </c>
      <c r="EO121" t="s">
        <v>227</v>
      </c>
      <c r="EQ121">
        <v>0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27.8</v>
      </c>
      <c r="EX121">
        <v>7.6</v>
      </c>
      <c r="EY121">
        <v>0</v>
      </c>
      <c r="FQ121">
        <v>0</v>
      </c>
      <c r="FR121">
        <f t="shared" ref="FR121:FR127" si="74">ROUND(IF(BI121=3,GM121,0),2)</f>
        <v>0</v>
      </c>
      <c r="FS121">
        <v>0</v>
      </c>
      <c r="FX121">
        <v>97</v>
      </c>
      <c r="FY121">
        <v>51</v>
      </c>
      <c r="GA121" t="s">
        <v>3</v>
      </c>
      <c r="GD121">
        <v>1</v>
      </c>
      <c r="GF121">
        <v>-1836264039</v>
      </c>
      <c r="GG121">
        <v>2</v>
      </c>
      <c r="GH121">
        <v>1</v>
      </c>
      <c r="GI121">
        <v>-2</v>
      </c>
      <c r="GJ121">
        <v>0</v>
      </c>
      <c r="GK121">
        <v>0</v>
      </c>
      <c r="GL121">
        <f t="shared" ref="GL121:GL127" si="75">ROUND(IF(AND(BH121=3,BI121=3,FS121&lt;&gt;0),P121,0),2)</f>
        <v>0</v>
      </c>
      <c r="GM121">
        <f t="shared" ref="GM121:GM127" si="76">ROUND(O121+X121+Y121,2)+GX121</f>
        <v>16985.45</v>
      </c>
      <c r="GN121">
        <f t="shared" ref="GN121:GN127" si="77">IF(OR(BI121=0,BI121=1),GM121-GX121,0)</f>
        <v>0</v>
      </c>
      <c r="GO121">
        <f t="shared" ref="GO121:GO127" si="78">IF(BI121=2,GM121-GX121,0)</f>
        <v>16985.45</v>
      </c>
      <c r="GP121">
        <f t="shared" ref="GP121:GP127" si="79">IF(BI121=4,GM121-GX121,0)</f>
        <v>0</v>
      </c>
      <c r="GR121">
        <v>0</v>
      </c>
      <c r="GS121">
        <v>0</v>
      </c>
      <c r="GT121">
        <v>0</v>
      </c>
      <c r="GU121" t="s">
        <v>3</v>
      </c>
      <c r="GV121">
        <f t="shared" ref="GV121:GV127" si="80">ROUND((GT121),6)</f>
        <v>0</v>
      </c>
      <c r="GW121">
        <v>1</v>
      </c>
      <c r="GX121">
        <f t="shared" ref="GX121:GX127" si="81">ROUND(HC121*I121,2)</f>
        <v>0</v>
      </c>
      <c r="HA121">
        <v>0</v>
      </c>
      <c r="HB121">
        <v>0</v>
      </c>
      <c r="HC121">
        <f t="shared" ref="HC121:HC127" si="82">GV121*GW121</f>
        <v>0</v>
      </c>
      <c r="HE121" t="s">
        <v>3</v>
      </c>
      <c r="HF121" t="s">
        <v>3</v>
      </c>
      <c r="HM121" t="s">
        <v>3</v>
      </c>
      <c r="HN121" t="s">
        <v>228</v>
      </c>
      <c r="HO121" t="s">
        <v>229</v>
      </c>
      <c r="HP121" t="s">
        <v>225</v>
      </c>
      <c r="HQ121" t="s">
        <v>225</v>
      </c>
      <c r="IK121">
        <v>0</v>
      </c>
    </row>
    <row r="122" spans="1:245" x14ac:dyDescent="0.2">
      <c r="A122">
        <v>17</v>
      </c>
      <c r="B122">
        <v>1</v>
      </c>
      <c r="C122">
        <f>ROW(SmtRes!A151)</f>
        <v>151</v>
      </c>
      <c r="D122">
        <f>ROW(EtalonRes!A146)</f>
        <v>146</v>
      </c>
      <c r="E122" t="s">
        <v>230</v>
      </c>
      <c r="F122" t="s">
        <v>231</v>
      </c>
      <c r="G122" t="s">
        <v>232</v>
      </c>
      <c r="H122" t="s">
        <v>220</v>
      </c>
      <c r="I122">
        <v>1</v>
      </c>
      <c r="J122">
        <v>0</v>
      </c>
      <c r="K122">
        <v>1</v>
      </c>
      <c r="O122">
        <f t="shared" si="61"/>
        <v>3810.11</v>
      </c>
      <c r="P122">
        <f>SUMIF(SmtRes!AQ145:'SmtRes'!AQ151,"=1",SmtRes!DF145:'SmtRes'!DF151)</f>
        <v>0</v>
      </c>
      <c r="Q122">
        <f>SUMIF(SmtRes!AQ145:'SmtRes'!AQ151,"=1",SmtRes!DG145:'SmtRes'!DG151)</f>
        <v>588.82999999999993</v>
      </c>
      <c r="R122">
        <f>SUMIF(SmtRes!AQ145:'SmtRes'!AQ151,"=1",SmtRes!DH145:'SmtRes'!DH151)</f>
        <v>322.13</v>
      </c>
      <c r="S122">
        <f>SUMIF(SmtRes!AQ145:'SmtRes'!AQ151,"=1",SmtRes!DI145:'SmtRes'!DI151)</f>
        <v>2899.15</v>
      </c>
      <c r="T122">
        <f t="shared" si="62"/>
        <v>0</v>
      </c>
      <c r="U122">
        <f>SUMIF(SmtRes!AQ145:'SmtRes'!AQ151,"=1",SmtRes!CV145:'SmtRes'!CV151)</f>
        <v>5.91</v>
      </c>
      <c r="V122">
        <f>SUMIF(SmtRes!AQ145:'SmtRes'!AQ151,"=1",SmtRes!CW145:'SmtRes'!CW151)</f>
        <v>0.56400000000000006</v>
      </c>
      <c r="W122">
        <f t="shared" si="63"/>
        <v>0</v>
      </c>
      <c r="X122">
        <f t="shared" si="64"/>
        <v>3124.64</v>
      </c>
      <c r="Y122">
        <f t="shared" si="64"/>
        <v>1642.85</v>
      </c>
      <c r="AA122">
        <v>65170852</v>
      </c>
      <c r="AB122">
        <f t="shared" si="65"/>
        <v>3458.4802800000002</v>
      </c>
      <c r="AC122">
        <f t="shared" si="66"/>
        <v>0</v>
      </c>
      <c r="AD122">
        <f>ROUND((((SUM(SmtRes!BR145:'SmtRes'!BR151))-(SUM(SmtRes!BS145:'SmtRes'!BS151)))+AE122),6)</f>
        <v>559.32978000000003</v>
      </c>
      <c r="AE122">
        <f>ROUND((SUM(SmtRes!BS145:'SmtRes'!BS151)),6)</f>
        <v>322.13549999999998</v>
      </c>
      <c r="AF122">
        <f>ROUND((SUM(SmtRes!BT145:'SmtRes'!BT151)),6)</f>
        <v>2899.1505000000002</v>
      </c>
      <c r="AG122">
        <f t="shared" si="67"/>
        <v>0</v>
      </c>
      <c r="AH122">
        <f>(SUM(SmtRes!BU145:'SmtRes'!BU151))</f>
        <v>5.9099999999999993</v>
      </c>
      <c r="AI122">
        <f>(SUM(SmtRes!BV145:'SmtRes'!BV151))</f>
        <v>0.56400000000000006</v>
      </c>
      <c r="AJ122">
        <f t="shared" si="68"/>
        <v>0</v>
      </c>
      <c r="AK122">
        <v>20890.452600000001</v>
      </c>
      <c r="AL122">
        <v>8288.4</v>
      </c>
      <c r="AM122">
        <v>1864.4326000000001</v>
      </c>
      <c r="AN122">
        <v>1073.7850000000001</v>
      </c>
      <c r="AO122">
        <v>9663.8349999999991</v>
      </c>
      <c r="AP122">
        <v>0</v>
      </c>
      <c r="AQ122">
        <v>19.7</v>
      </c>
      <c r="AR122">
        <v>1.88</v>
      </c>
      <c r="AS122">
        <v>0</v>
      </c>
      <c r="AT122">
        <v>97</v>
      </c>
      <c r="AU122">
        <v>51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2</v>
      </c>
      <c r="BJ122" t="s">
        <v>233</v>
      </c>
      <c r="BM122">
        <v>108001</v>
      </c>
      <c r="BN122">
        <v>0</v>
      </c>
      <c r="BO122" t="s">
        <v>3</v>
      </c>
      <c r="BP122">
        <v>0</v>
      </c>
      <c r="BQ122">
        <v>3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97</v>
      </c>
      <c r="CA122">
        <v>51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222</v>
      </c>
      <c r="CO122">
        <v>0</v>
      </c>
      <c r="CP122">
        <f t="shared" si="69"/>
        <v>3810.11</v>
      </c>
      <c r="CQ122">
        <f>SUMIF(SmtRes!AQ145:'SmtRes'!AQ151,"=1",SmtRes!AA145:'SmtRes'!AA151)</f>
        <v>929.26</v>
      </c>
      <c r="CR122">
        <f>SUMIF(SmtRes!AQ145:'SmtRes'!AQ151,"=1",SmtRes!AB145:'SmtRes'!AB151)</f>
        <v>2129.4700000000003</v>
      </c>
      <c r="CS122">
        <f>SUMIF(SmtRes!AQ145:'SmtRes'!AQ151,"=1",SmtRes!AC145:'SmtRes'!AC151)</f>
        <v>1149.49</v>
      </c>
      <c r="CT122">
        <f>SUMIF(SmtRes!AQ145:'SmtRes'!AQ151,"=1",SmtRes!AD145:'SmtRes'!AD151)</f>
        <v>490.55</v>
      </c>
      <c r="CU122">
        <f t="shared" si="70"/>
        <v>0</v>
      </c>
      <c r="CV122">
        <f>SUMIF(SmtRes!AQ145:'SmtRes'!AQ151,"=1",SmtRes!BU145:'SmtRes'!BU151)</f>
        <v>5.9099999999999993</v>
      </c>
      <c r="CW122">
        <f>SUMIF(SmtRes!AQ145:'SmtRes'!AQ151,"=1",SmtRes!BV145:'SmtRes'!BV151)</f>
        <v>0.56400000000000006</v>
      </c>
      <c r="CX122">
        <f t="shared" si="71"/>
        <v>0</v>
      </c>
      <c r="CY122">
        <f t="shared" si="72"/>
        <v>3124.6416000000004</v>
      </c>
      <c r="CZ122">
        <f t="shared" si="73"/>
        <v>1642.8527999999999</v>
      </c>
      <c r="DB122">
        <v>8</v>
      </c>
      <c r="DC122" t="s">
        <v>3</v>
      </c>
      <c r="DD122" t="s">
        <v>97</v>
      </c>
      <c r="DE122" t="s">
        <v>223</v>
      </c>
      <c r="DF122" t="s">
        <v>223</v>
      </c>
      <c r="DG122" t="s">
        <v>223</v>
      </c>
      <c r="DH122" t="s">
        <v>3</v>
      </c>
      <c r="DI122" t="s">
        <v>223</v>
      </c>
      <c r="DJ122" t="s">
        <v>223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220</v>
      </c>
      <c r="DW122" t="s">
        <v>220</v>
      </c>
      <c r="DX122">
        <v>1</v>
      </c>
      <c r="DZ122" t="s">
        <v>3</v>
      </c>
      <c r="EA122" t="s">
        <v>3</v>
      </c>
      <c r="EB122" t="s">
        <v>3</v>
      </c>
      <c r="EC122" t="s">
        <v>3</v>
      </c>
      <c r="EE122">
        <v>64850885</v>
      </c>
      <c r="EF122">
        <v>3</v>
      </c>
      <c r="EG122" t="s">
        <v>224</v>
      </c>
      <c r="EH122">
        <v>0</v>
      </c>
      <c r="EI122" t="s">
        <v>3</v>
      </c>
      <c r="EJ122">
        <v>2</v>
      </c>
      <c r="EK122">
        <v>108001</v>
      </c>
      <c r="EL122" t="s">
        <v>225</v>
      </c>
      <c r="EM122" t="s">
        <v>226</v>
      </c>
      <c r="EO122" t="s">
        <v>227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19.7</v>
      </c>
      <c r="EX122">
        <v>1.88</v>
      </c>
      <c r="EY122">
        <v>0</v>
      </c>
      <c r="FQ122">
        <v>0</v>
      </c>
      <c r="FR122">
        <f t="shared" si="74"/>
        <v>0</v>
      </c>
      <c r="FS122">
        <v>0</v>
      </c>
      <c r="FX122">
        <v>97</v>
      </c>
      <c r="FY122">
        <v>51</v>
      </c>
      <c r="GA122" t="s">
        <v>3</v>
      </c>
      <c r="GD122">
        <v>1</v>
      </c>
      <c r="GF122">
        <v>-1798673869</v>
      </c>
      <c r="GG122">
        <v>2</v>
      </c>
      <c r="GH122">
        <v>1</v>
      </c>
      <c r="GI122">
        <v>-2</v>
      </c>
      <c r="GJ122">
        <v>0</v>
      </c>
      <c r="GK122">
        <v>0</v>
      </c>
      <c r="GL122">
        <f t="shared" si="75"/>
        <v>0</v>
      </c>
      <c r="GM122">
        <f t="shared" si="76"/>
        <v>8577.6</v>
      </c>
      <c r="GN122">
        <f t="shared" si="77"/>
        <v>0</v>
      </c>
      <c r="GO122">
        <f t="shared" si="78"/>
        <v>8577.6</v>
      </c>
      <c r="GP122">
        <f t="shared" si="79"/>
        <v>0</v>
      </c>
      <c r="GR122">
        <v>0</v>
      </c>
      <c r="GS122">
        <v>0</v>
      </c>
      <c r="GT122">
        <v>0</v>
      </c>
      <c r="GU122" t="s">
        <v>3</v>
      </c>
      <c r="GV122">
        <f t="shared" si="80"/>
        <v>0</v>
      </c>
      <c r="GW122">
        <v>1</v>
      </c>
      <c r="GX122">
        <f t="shared" si="81"/>
        <v>0</v>
      </c>
      <c r="HA122">
        <v>0</v>
      </c>
      <c r="HB122">
        <v>0</v>
      </c>
      <c r="HC122">
        <f t="shared" si="82"/>
        <v>0</v>
      </c>
      <c r="HE122" t="s">
        <v>3</v>
      </c>
      <c r="HF122" t="s">
        <v>3</v>
      </c>
      <c r="HM122" t="s">
        <v>3</v>
      </c>
      <c r="HN122" t="s">
        <v>228</v>
      </c>
      <c r="HO122" t="s">
        <v>229</v>
      </c>
      <c r="HP122" t="s">
        <v>225</v>
      </c>
      <c r="HQ122" t="s">
        <v>225</v>
      </c>
      <c r="IK122">
        <v>0</v>
      </c>
    </row>
    <row r="123" spans="1:245" x14ac:dyDescent="0.2">
      <c r="A123">
        <v>17</v>
      </c>
      <c r="B123">
        <v>1</v>
      </c>
      <c r="C123">
        <f>ROW(SmtRes!A166)</f>
        <v>166</v>
      </c>
      <c r="D123">
        <f>ROW(EtalonRes!A161)</f>
        <v>161</v>
      </c>
      <c r="E123" t="s">
        <v>234</v>
      </c>
      <c r="F123" t="s">
        <v>235</v>
      </c>
      <c r="G123" t="s">
        <v>236</v>
      </c>
      <c r="H123" t="s">
        <v>237</v>
      </c>
      <c r="I123">
        <v>1</v>
      </c>
      <c r="J123">
        <v>0</v>
      </c>
      <c r="K123">
        <v>1</v>
      </c>
      <c r="O123">
        <f t="shared" si="61"/>
        <v>1676.78</v>
      </c>
      <c r="P123">
        <f>SUMIF(SmtRes!AQ152:'SmtRes'!AQ166,"=1",SmtRes!DF152:'SmtRes'!DF166)</f>
        <v>0</v>
      </c>
      <c r="Q123">
        <f>SUMIF(SmtRes!AQ152:'SmtRes'!AQ166,"=1",SmtRes!DG152:'SmtRes'!DG166)</f>
        <v>355</v>
      </c>
      <c r="R123">
        <f>SUMIF(SmtRes!AQ152:'SmtRes'!AQ166,"=1",SmtRes!DH152:'SmtRes'!DH166)</f>
        <v>180.93</v>
      </c>
      <c r="S123">
        <f>SUMIF(SmtRes!AQ152:'SmtRes'!AQ166,"=1",SmtRes!DI152:'SmtRes'!DI166)</f>
        <v>1140.8499999999999</v>
      </c>
      <c r="T123">
        <f t="shared" si="62"/>
        <v>0</v>
      </c>
      <c r="U123">
        <f>SUMIF(SmtRes!AQ152:'SmtRes'!AQ166,"=1",SmtRes!CV152:'SmtRes'!CV166)</f>
        <v>2.226</v>
      </c>
      <c r="V123">
        <f>SUMIF(SmtRes!AQ152:'SmtRes'!AQ166,"=1",SmtRes!CW152:'SmtRes'!CW166)</f>
        <v>0.30599999999999999</v>
      </c>
      <c r="W123">
        <f t="shared" si="63"/>
        <v>0</v>
      </c>
      <c r="X123">
        <f t="shared" si="64"/>
        <v>1361.43</v>
      </c>
      <c r="Y123">
        <f t="shared" si="64"/>
        <v>793.07</v>
      </c>
      <c r="AA123">
        <v>65170852</v>
      </c>
      <c r="AB123">
        <f t="shared" si="65"/>
        <v>1483.49919</v>
      </c>
      <c r="AC123">
        <f t="shared" si="66"/>
        <v>0</v>
      </c>
      <c r="AD123">
        <f>ROUND((((SUM(SmtRes!BR152:'SmtRes'!BR166))-(SUM(SmtRes!BS152:'SmtRes'!BS166)))+AE123),6)</f>
        <v>342.65192999999999</v>
      </c>
      <c r="AE123">
        <f>ROUND((SUM(SmtRes!BS152:'SmtRes'!BS166)),6)</f>
        <v>180.92366999999999</v>
      </c>
      <c r="AF123">
        <f>ROUND((SUM(SmtRes!BT152:'SmtRes'!BT166)),6)</f>
        <v>1140.84726</v>
      </c>
      <c r="AG123">
        <f t="shared" si="67"/>
        <v>0</v>
      </c>
      <c r="AH123">
        <f>(SUM(SmtRes!BU152:'SmtRes'!BU166))</f>
        <v>2.226</v>
      </c>
      <c r="AI123">
        <f>(SUM(SmtRes!BV152:'SmtRes'!BV166))</f>
        <v>0.30599999999999999</v>
      </c>
      <c r="AJ123">
        <f t="shared" si="68"/>
        <v>0</v>
      </c>
      <c r="AK123">
        <v>5569.2559980000005</v>
      </c>
      <c r="AL123">
        <v>21.179797999999998</v>
      </c>
      <c r="AM123">
        <v>1142.1731</v>
      </c>
      <c r="AN123">
        <v>603.07889999999998</v>
      </c>
      <c r="AO123">
        <v>3802.8242</v>
      </c>
      <c r="AP123">
        <v>0</v>
      </c>
      <c r="AQ123">
        <v>7.42</v>
      </c>
      <c r="AR123">
        <v>1.02</v>
      </c>
      <c r="AS123">
        <v>0</v>
      </c>
      <c r="AT123">
        <v>103</v>
      </c>
      <c r="AU123">
        <v>60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1</v>
      </c>
      <c r="BJ123" t="s">
        <v>238</v>
      </c>
      <c r="BM123">
        <v>33001</v>
      </c>
      <c r="BN123">
        <v>0</v>
      </c>
      <c r="BO123" t="s">
        <v>3</v>
      </c>
      <c r="BP123">
        <v>0</v>
      </c>
      <c r="BQ123">
        <v>2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103</v>
      </c>
      <c r="CA123">
        <v>60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222</v>
      </c>
      <c r="CO123">
        <v>0</v>
      </c>
      <c r="CP123">
        <f t="shared" si="69"/>
        <v>1676.78</v>
      </c>
      <c r="CQ123">
        <f>SUMIF(SmtRes!AQ152:'SmtRes'!AQ166,"=1",SmtRes!AA152:'SmtRes'!AA166)</f>
        <v>98545.130000000019</v>
      </c>
      <c r="CR123">
        <f>SUMIF(SmtRes!AQ152:'SmtRes'!AQ166,"=1",SmtRes!AB152:'SmtRes'!AB166)</f>
        <v>2129.4700000000003</v>
      </c>
      <c r="CS123">
        <f>SUMIF(SmtRes!AQ152:'SmtRes'!AQ166,"=1",SmtRes!AC152:'SmtRes'!AC166)</f>
        <v>1149.49</v>
      </c>
      <c r="CT123">
        <f>SUMIF(SmtRes!AQ152:'SmtRes'!AQ166,"=1",SmtRes!AD152:'SmtRes'!AD166)</f>
        <v>512.51</v>
      </c>
      <c r="CU123">
        <f t="shared" si="70"/>
        <v>0</v>
      </c>
      <c r="CV123">
        <f>SUMIF(SmtRes!AQ152:'SmtRes'!AQ166,"=1",SmtRes!BU152:'SmtRes'!BU166)</f>
        <v>2.226</v>
      </c>
      <c r="CW123">
        <f>SUMIF(SmtRes!AQ152:'SmtRes'!AQ166,"=1",SmtRes!BV152:'SmtRes'!BV166)</f>
        <v>0.30599999999999999</v>
      </c>
      <c r="CX123">
        <f t="shared" si="71"/>
        <v>0</v>
      </c>
      <c r="CY123">
        <f t="shared" si="72"/>
        <v>1361.4333999999999</v>
      </c>
      <c r="CZ123">
        <f t="shared" si="73"/>
        <v>793.06799999999998</v>
      </c>
      <c r="DB123">
        <v>9</v>
      </c>
      <c r="DC123" t="s">
        <v>3</v>
      </c>
      <c r="DD123" t="s">
        <v>97</v>
      </c>
      <c r="DE123" t="s">
        <v>223</v>
      </c>
      <c r="DF123" t="s">
        <v>223</v>
      </c>
      <c r="DG123" t="s">
        <v>223</v>
      </c>
      <c r="DH123" t="s">
        <v>3</v>
      </c>
      <c r="DI123" t="s">
        <v>223</v>
      </c>
      <c r="DJ123" t="s">
        <v>223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1013</v>
      </c>
      <c r="DV123" t="s">
        <v>237</v>
      </c>
      <c r="DW123" t="s">
        <v>237</v>
      </c>
      <c r="DX123">
        <v>1</v>
      </c>
      <c r="DZ123" t="s">
        <v>3</v>
      </c>
      <c r="EA123" t="s">
        <v>3</v>
      </c>
      <c r="EB123" t="s">
        <v>3</v>
      </c>
      <c r="EC123" t="s">
        <v>3</v>
      </c>
      <c r="EE123">
        <v>64851056</v>
      </c>
      <c r="EF123">
        <v>2</v>
      </c>
      <c r="EG123" t="s">
        <v>80</v>
      </c>
      <c r="EH123">
        <v>27</v>
      </c>
      <c r="EI123" t="s">
        <v>239</v>
      </c>
      <c r="EJ123">
        <v>1</v>
      </c>
      <c r="EK123">
        <v>33001</v>
      </c>
      <c r="EL123" t="s">
        <v>239</v>
      </c>
      <c r="EM123" t="s">
        <v>240</v>
      </c>
      <c r="EO123" t="s">
        <v>227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7.42</v>
      </c>
      <c r="EX123">
        <v>1.02</v>
      </c>
      <c r="EY123">
        <v>0</v>
      </c>
      <c r="FQ123">
        <v>0</v>
      </c>
      <c r="FR123">
        <f t="shared" si="74"/>
        <v>0</v>
      </c>
      <c r="FS123">
        <v>0</v>
      </c>
      <c r="FX123">
        <v>103</v>
      </c>
      <c r="FY123">
        <v>60</v>
      </c>
      <c r="GA123" t="s">
        <v>3</v>
      </c>
      <c r="GD123">
        <v>1</v>
      </c>
      <c r="GF123">
        <v>-688522632</v>
      </c>
      <c r="GG123">
        <v>2</v>
      </c>
      <c r="GH123">
        <v>1</v>
      </c>
      <c r="GI123">
        <v>-2</v>
      </c>
      <c r="GJ123">
        <v>0</v>
      </c>
      <c r="GK123">
        <v>0</v>
      </c>
      <c r="GL123">
        <f t="shared" si="75"/>
        <v>0</v>
      </c>
      <c r="GM123">
        <f t="shared" si="76"/>
        <v>3831.28</v>
      </c>
      <c r="GN123">
        <f t="shared" si="77"/>
        <v>3831.28</v>
      </c>
      <c r="GO123">
        <f t="shared" si="78"/>
        <v>0</v>
      </c>
      <c r="GP123">
        <f t="shared" si="79"/>
        <v>0</v>
      </c>
      <c r="GR123">
        <v>0</v>
      </c>
      <c r="GS123">
        <v>0</v>
      </c>
      <c r="GT123">
        <v>0</v>
      </c>
      <c r="GU123" t="s">
        <v>3</v>
      </c>
      <c r="GV123">
        <f t="shared" si="80"/>
        <v>0</v>
      </c>
      <c r="GW123">
        <v>1</v>
      </c>
      <c r="GX123">
        <f t="shared" si="81"/>
        <v>0</v>
      </c>
      <c r="HA123">
        <v>0</v>
      </c>
      <c r="HB123">
        <v>0</v>
      </c>
      <c r="HC123">
        <f t="shared" si="82"/>
        <v>0</v>
      </c>
      <c r="HE123" t="s">
        <v>3</v>
      </c>
      <c r="HF123" t="s">
        <v>3</v>
      </c>
      <c r="HM123" t="s">
        <v>3</v>
      </c>
      <c r="HN123" t="s">
        <v>241</v>
      </c>
      <c r="HO123" t="s">
        <v>242</v>
      </c>
      <c r="HP123" t="s">
        <v>239</v>
      </c>
      <c r="HQ123" t="s">
        <v>239</v>
      </c>
      <c r="IK123">
        <v>0</v>
      </c>
    </row>
    <row r="124" spans="1:245" x14ac:dyDescent="0.2">
      <c r="A124">
        <v>17</v>
      </c>
      <c r="B124">
        <v>1</v>
      </c>
      <c r="C124">
        <f>ROW(SmtRes!A176)</f>
        <v>176</v>
      </c>
      <c r="D124">
        <f>ROW(EtalonRes!A174)</f>
        <v>174</v>
      </c>
      <c r="E124" t="s">
        <v>243</v>
      </c>
      <c r="F124" t="s">
        <v>244</v>
      </c>
      <c r="G124" t="s">
        <v>245</v>
      </c>
      <c r="H124" t="s">
        <v>246</v>
      </c>
      <c r="I124">
        <v>0.01</v>
      </c>
      <c r="J124">
        <v>0</v>
      </c>
      <c r="K124">
        <v>0.01</v>
      </c>
      <c r="O124">
        <f t="shared" si="61"/>
        <v>177.52</v>
      </c>
      <c r="P124">
        <f>SUMIF(SmtRes!AQ167:'SmtRes'!AQ176,"=1",SmtRes!DF167:'SmtRes'!DF176)</f>
        <v>0</v>
      </c>
      <c r="Q124">
        <f>SUMIF(SmtRes!AQ167:'SmtRes'!AQ176,"=1",SmtRes!DG167:'SmtRes'!DG176)</f>
        <v>31.689999999999998</v>
      </c>
      <c r="R124">
        <f>SUMIF(SmtRes!AQ167:'SmtRes'!AQ176,"=1",SmtRes!DH167:'SmtRes'!DH176)</f>
        <v>33.059999999999995</v>
      </c>
      <c r="S124">
        <f>SUMIF(SmtRes!AQ167:'SmtRes'!AQ176,"=1",SmtRes!DI167:'SmtRes'!DI176)</f>
        <v>112.77000000000001</v>
      </c>
      <c r="T124">
        <f t="shared" si="62"/>
        <v>0</v>
      </c>
      <c r="U124">
        <f>SUMIF(SmtRes!AQ167:'SmtRes'!AQ176,"=1",SmtRes!CV167:'SmtRes'!CV176)</f>
        <v>0.23483999999999999</v>
      </c>
      <c r="V124">
        <f>SUMIF(SmtRes!AQ167:'SmtRes'!AQ176,"=1",SmtRes!CW167:'SmtRes'!CW176)</f>
        <v>6.6720000000000002E-2</v>
      </c>
      <c r="W124">
        <f t="shared" si="63"/>
        <v>0</v>
      </c>
      <c r="X124">
        <f t="shared" si="64"/>
        <v>150.19999999999999</v>
      </c>
      <c r="Y124">
        <f t="shared" si="64"/>
        <v>87.5</v>
      </c>
      <c r="AA124">
        <v>65170852</v>
      </c>
      <c r="AB124">
        <f t="shared" si="65"/>
        <v>13730.449710000001</v>
      </c>
      <c r="AC124">
        <f t="shared" si="66"/>
        <v>0</v>
      </c>
      <c r="AD124">
        <f>ROUND((((SUM(SmtRes!BR167:'SmtRes'!BR176))-(SUM(SmtRes!BS167:'SmtRes'!BS176)))+AE124),6)</f>
        <v>2453.4253199999998</v>
      </c>
      <c r="AE124">
        <f>ROUND((SUM(SmtRes!BS167:'SmtRes'!BS176)),6)</f>
        <v>3305.2804799999999</v>
      </c>
      <c r="AF124">
        <f>ROUND((SUM(SmtRes!BT167:'SmtRes'!BT176)),6)</f>
        <v>11277.02439</v>
      </c>
      <c r="AG124">
        <f t="shared" si="67"/>
        <v>0</v>
      </c>
      <c r="AH124">
        <f>(SUM(SmtRes!BU167:'SmtRes'!BU176))</f>
        <v>23.483999999999998</v>
      </c>
      <c r="AI124">
        <f>(SUM(SmtRes!BV167:'SmtRes'!BV176))</f>
        <v>6.6719999999999997</v>
      </c>
      <c r="AJ124">
        <f t="shared" si="68"/>
        <v>0</v>
      </c>
      <c r="AK124">
        <v>56785.767300000007</v>
      </c>
      <c r="AL124">
        <v>0</v>
      </c>
      <c r="AM124">
        <v>8178.0844000000006</v>
      </c>
      <c r="AN124">
        <v>11017.6016</v>
      </c>
      <c r="AO124">
        <v>37590.081300000005</v>
      </c>
      <c r="AP124">
        <v>0</v>
      </c>
      <c r="AQ124">
        <v>78.279999999999987</v>
      </c>
      <c r="AR124">
        <v>22.24</v>
      </c>
      <c r="AS124">
        <v>0</v>
      </c>
      <c r="AT124">
        <v>103</v>
      </c>
      <c r="AU124">
        <v>60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1</v>
      </c>
      <c r="BJ124" t="s">
        <v>247</v>
      </c>
      <c r="BM124">
        <v>33001</v>
      </c>
      <c r="BN124">
        <v>0</v>
      </c>
      <c r="BO124" t="s">
        <v>3</v>
      </c>
      <c r="BP124">
        <v>0</v>
      </c>
      <c r="BQ124">
        <v>2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103</v>
      </c>
      <c r="CA124">
        <v>60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222</v>
      </c>
      <c r="CO124">
        <v>0</v>
      </c>
      <c r="CP124">
        <f t="shared" si="69"/>
        <v>177.52</v>
      </c>
      <c r="CQ124">
        <f>SUMIF(SmtRes!AQ167:'SmtRes'!AQ176,"=1",SmtRes!AA167:'SmtRes'!AA176)</f>
        <v>0</v>
      </c>
      <c r="CR124">
        <f>SUMIF(SmtRes!AQ167:'SmtRes'!AQ176,"=1",SmtRes!AB167:'SmtRes'!AB176)</f>
        <v>2792.64</v>
      </c>
      <c r="CS124">
        <f>SUMIF(SmtRes!AQ167:'SmtRes'!AQ176,"=1",SmtRes!AC167:'SmtRes'!AC176)</f>
        <v>2130.59</v>
      </c>
      <c r="CT124">
        <f>SUMIF(SmtRes!AQ167:'SmtRes'!AQ176,"=1",SmtRes!AD167:'SmtRes'!AD176)</f>
        <v>1888.98</v>
      </c>
      <c r="CU124">
        <f t="shared" si="70"/>
        <v>0</v>
      </c>
      <c r="CV124">
        <f>SUMIF(SmtRes!AQ167:'SmtRes'!AQ176,"=1",SmtRes!BU167:'SmtRes'!BU176)</f>
        <v>23.483999999999998</v>
      </c>
      <c r="CW124">
        <f>SUMIF(SmtRes!AQ167:'SmtRes'!AQ176,"=1",SmtRes!BV167:'SmtRes'!BV176)</f>
        <v>6.6719999999999997</v>
      </c>
      <c r="CX124">
        <f t="shared" si="71"/>
        <v>0</v>
      </c>
      <c r="CY124">
        <f t="shared" si="72"/>
        <v>150.20490000000001</v>
      </c>
      <c r="CZ124">
        <f t="shared" si="73"/>
        <v>87.498000000000005</v>
      </c>
      <c r="DB124">
        <v>10</v>
      </c>
      <c r="DC124" t="s">
        <v>3</v>
      </c>
      <c r="DD124" t="s">
        <v>97</v>
      </c>
      <c r="DE124" t="s">
        <v>223</v>
      </c>
      <c r="DF124" t="s">
        <v>223</v>
      </c>
      <c r="DG124" t="s">
        <v>223</v>
      </c>
      <c r="DH124" t="s">
        <v>3</v>
      </c>
      <c r="DI124" t="s">
        <v>223</v>
      </c>
      <c r="DJ124" t="s">
        <v>223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1003</v>
      </c>
      <c r="DV124" t="s">
        <v>246</v>
      </c>
      <c r="DW124" t="s">
        <v>246</v>
      </c>
      <c r="DX124">
        <v>1000</v>
      </c>
      <c r="DZ124" t="s">
        <v>3</v>
      </c>
      <c r="EA124" t="s">
        <v>3</v>
      </c>
      <c r="EB124" t="s">
        <v>3</v>
      </c>
      <c r="EC124" t="s">
        <v>3</v>
      </c>
      <c r="EE124">
        <v>64851056</v>
      </c>
      <c r="EF124">
        <v>2</v>
      </c>
      <c r="EG124" t="s">
        <v>80</v>
      </c>
      <c r="EH124">
        <v>27</v>
      </c>
      <c r="EI124" t="s">
        <v>239</v>
      </c>
      <c r="EJ124">
        <v>1</v>
      </c>
      <c r="EK124">
        <v>33001</v>
      </c>
      <c r="EL124" t="s">
        <v>239</v>
      </c>
      <c r="EM124" t="s">
        <v>240</v>
      </c>
      <c r="EO124" t="s">
        <v>227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78.28</v>
      </c>
      <c r="EX124">
        <v>22.24</v>
      </c>
      <c r="EY124">
        <v>0</v>
      </c>
      <c r="FQ124">
        <v>0</v>
      </c>
      <c r="FR124">
        <f t="shared" si="74"/>
        <v>0</v>
      </c>
      <c r="FS124">
        <v>0</v>
      </c>
      <c r="FX124">
        <v>103</v>
      </c>
      <c r="FY124">
        <v>60</v>
      </c>
      <c r="GA124" t="s">
        <v>3</v>
      </c>
      <c r="GD124">
        <v>1</v>
      </c>
      <c r="GF124">
        <v>982570993</v>
      </c>
      <c r="GG124">
        <v>2</v>
      </c>
      <c r="GH124">
        <v>1</v>
      </c>
      <c r="GI124">
        <v>-2</v>
      </c>
      <c r="GJ124">
        <v>0</v>
      </c>
      <c r="GK124">
        <v>0</v>
      </c>
      <c r="GL124">
        <f t="shared" si="75"/>
        <v>0</v>
      </c>
      <c r="GM124">
        <f t="shared" si="76"/>
        <v>415.22</v>
      </c>
      <c r="GN124">
        <f t="shared" si="77"/>
        <v>415.22</v>
      </c>
      <c r="GO124">
        <f t="shared" si="78"/>
        <v>0</v>
      </c>
      <c r="GP124">
        <f t="shared" si="79"/>
        <v>0</v>
      </c>
      <c r="GR124">
        <v>0</v>
      </c>
      <c r="GS124">
        <v>0</v>
      </c>
      <c r="GT124">
        <v>0</v>
      </c>
      <c r="GU124" t="s">
        <v>3</v>
      </c>
      <c r="GV124">
        <f t="shared" si="80"/>
        <v>0</v>
      </c>
      <c r="GW124">
        <v>1</v>
      </c>
      <c r="GX124">
        <f t="shared" si="81"/>
        <v>0</v>
      </c>
      <c r="HA124">
        <v>0</v>
      </c>
      <c r="HB124">
        <v>0</v>
      </c>
      <c r="HC124">
        <f t="shared" si="82"/>
        <v>0</v>
      </c>
      <c r="HE124" t="s">
        <v>3</v>
      </c>
      <c r="HF124" t="s">
        <v>3</v>
      </c>
      <c r="HM124" t="s">
        <v>3</v>
      </c>
      <c r="HN124" t="s">
        <v>241</v>
      </c>
      <c r="HO124" t="s">
        <v>242</v>
      </c>
      <c r="HP124" t="s">
        <v>239</v>
      </c>
      <c r="HQ124" t="s">
        <v>239</v>
      </c>
      <c r="IK124">
        <v>0</v>
      </c>
    </row>
    <row r="125" spans="1:245" x14ac:dyDescent="0.2">
      <c r="A125">
        <v>17</v>
      </c>
      <c r="B125">
        <v>1</v>
      </c>
      <c r="C125">
        <f>ROW(SmtRes!A181)</f>
        <v>181</v>
      </c>
      <c r="D125">
        <f>ROW(EtalonRes!A180)</f>
        <v>180</v>
      </c>
      <c r="E125" t="s">
        <v>248</v>
      </c>
      <c r="F125" t="s">
        <v>249</v>
      </c>
      <c r="G125" t="s">
        <v>250</v>
      </c>
      <c r="H125" t="s">
        <v>220</v>
      </c>
      <c r="I125">
        <v>3</v>
      </c>
      <c r="J125">
        <v>0</v>
      </c>
      <c r="K125">
        <v>3</v>
      </c>
      <c r="O125">
        <f t="shared" si="61"/>
        <v>197.25</v>
      </c>
      <c r="P125">
        <f>SUMIF(SmtRes!AQ177:'SmtRes'!AQ181,"=1",SmtRes!DF177:'SmtRes'!DF181)</f>
        <v>0</v>
      </c>
      <c r="Q125">
        <f>SUMIF(SmtRes!AQ177:'SmtRes'!AQ181,"=1",SmtRes!DG177:'SmtRes'!DG181)</f>
        <v>13.41</v>
      </c>
      <c r="R125">
        <f>SUMIF(SmtRes!AQ177:'SmtRes'!AQ181,"=1",SmtRes!DH177:'SmtRes'!DH181)</f>
        <v>7.24</v>
      </c>
      <c r="S125">
        <f>SUMIF(SmtRes!AQ177:'SmtRes'!AQ181,"=1",SmtRes!DI177:'SmtRes'!DI181)</f>
        <v>176.6</v>
      </c>
      <c r="T125">
        <f t="shared" si="62"/>
        <v>0</v>
      </c>
      <c r="U125">
        <f>SUMIF(SmtRes!AQ177:'SmtRes'!AQ181,"=1",SmtRes!CV177:'SmtRes'!CV181)</f>
        <v>0.36</v>
      </c>
      <c r="V125">
        <f>SUMIF(SmtRes!AQ177:'SmtRes'!AQ181,"=1",SmtRes!CW177:'SmtRes'!CW181)</f>
        <v>1.26E-2</v>
      </c>
      <c r="W125">
        <f t="shared" si="63"/>
        <v>0</v>
      </c>
      <c r="X125">
        <f t="shared" si="64"/>
        <v>178.32</v>
      </c>
      <c r="Y125">
        <f t="shared" si="64"/>
        <v>93.76</v>
      </c>
      <c r="AA125">
        <v>65170852</v>
      </c>
      <c r="AB125">
        <f t="shared" si="65"/>
        <v>63.127130999999999</v>
      </c>
      <c r="AC125">
        <f t="shared" si="66"/>
        <v>0</v>
      </c>
      <c r="AD125">
        <f>ROUND((((SUM(SmtRes!BR177:'SmtRes'!BR181))-(SUM(SmtRes!BS177:'SmtRes'!BS181)))+AE125),6)</f>
        <v>4.2611309999999998</v>
      </c>
      <c r="AE125">
        <f>ROUND((SUM(SmtRes!BS177:'SmtRes'!BS181)),6)</f>
        <v>2.413929</v>
      </c>
      <c r="AF125">
        <f>ROUND((SUM(SmtRes!BT177:'SmtRes'!BT181)),6)</f>
        <v>58.866</v>
      </c>
      <c r="AG125">
        <f t="shared" si="67"/>
        <v>0</v>
      </c>
      <c r="AH125">
        <f>(SUM(SmtRes!BU177:'SmtRes'!BU181))</f>
        <v>0.12</v>
      </c>
      <c r="AI125">
        <f>(SUM(SmtRes!BV177:'SmtRes'!BV181))</f>
        <v>4.1999999999999997E-3</v>
      </c>
      <c r="AJ125">
        <f t="shared" si="68"/>
        <v>0</v>
      </c>
      <c r="AK125">
        <v>232.46460000000002</v>
      </c>
      <c r="AL125">
        <v>13.994400000000001</v>
      </c>
      <c r="AM125">
        <v>14.20377</v>
      </c>
      <c r="AN125">
        <v>8.0464300000000009</v>
      </c>
      <c r="AO125">
        <v>196.22000000000003</v>
      </c>
      <c r="AP125">
        <v>0</v>
      </c>
      <c r="AQ125">
        <v>0.4</v>
      </c>
      <c r="AR125">
        <v>1.4E-2</v>
      </c>
      <c r="AS125">
        <v>0</v>
      </c>
      <c r="AT125">
        <v>97</v>
      </c>
      <c r="AU125">
        <v>51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2</v>
      </c>
      <c r="BJ125" t="s">
        <v>251</v>
      </c>
      <c r="BM125">
        <v>108001</v>
      </c>
      <c r="BN125">
        <v>0</v>
      </c>
      <c r="BO125" t="s">
        <v>3</v>
      </c>
      <c r="BP125">
        <v>0</v>
      </c>
      <c r="BQ125">
        <v>3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97</v>
      </c>
      <c r="CA125">
        <v>51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222</v>
      </c>
      <c r="CO125">
        <v>0</v>
      </c>
      <c r="CP125">
        <f t="shared" si="69"/>
        <v>197.25</v>
      </c>
      <c r="CQ125">
        <f>SUMIF(SmtRes!AQ177:'SmtRes'!AQ181,"=1",SmtRes!AA177:'SmtRes'!AA181)</f>
        <v>201.17</v>
      </c>
      <c r="CR125">
        <f>SUMIF(SmtRes!AQ177:'SmtRes'!AQ181,"=1",SmtRes!AB177:'SmtRes'!AB181)</f>
        <v>2129.4700000000003</v>
      </c>
      <c r="CS125">
        <f>SUMIF(SmtRes!AQ177:'SmtRes'!AQ181,"=1",SmtRes!AC177:'SmtRes'!AC181)</f>
        <v>1149.49</v>
      </c>
      <c r="CT125">
        <f>SUMIF(SmtRes!AQ177:'SmtRes'!AQ181,"=1",SmtRes!AD177:'SmtRes'!AD181)</f>
        <v>490.55</v>
      </c>
      <c r="CU125">
        <f t="shared" si="70"/>
        <v>0</v>
      </c>
      <c r="CV125">
        <f>SUMIF(SmtRes!AQ177:'SmtRes'!AQ181,"=1",SmtRes!BU177:'SmtRes'!BU181)</f>
        <v>0.12</v>
      </c>
      <c r="CW125">
        <f>SUMIF(SmtRes!AQ177:'SmtRes'!AQ181,"=1",SmtRes!BV177:'SmtRes'!BV181)</f>
        <v>4.1999999999999997E-3</v>
      </c>
      <c r="CX125">
        <f t="shared" si="71"/>
        <v>0</v>
      </c>
      <c r="CY125">
        <f t="shared" si="72"/>
        <v>178.32479999999998</v>
      </c>
      <c r="CZ125">
        <f t="shared" si="73"/>
        <v>93.758399999999995</v>
      </c>
      <c r="DB125">
        <v>11</v>
      </c>
      <c r="DC125" t="s">
        <v>3</v>
      </c>
      <c r="DD125" t="s">
        <v>97</v>
      </c>
      <c r="DE125" t="s">
        <v>223</v>
      </c>
      <c r="DF125" t="s">
        <v>223</v>
      </c>
      <c r="DG125" t="s">
        <v>223</v>
      </c>
      <c r="DH125" t="s">
        <v>3</v>
      </c>
      <c r="DI125" t="s">
        <v>223</v>
      </c>
      <c r="DJ125" t="s">
        <v>223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1013</v>
      </c>
      <c r="DV125" t="s">
        <v>220</v>
      </c>
      <c r="DW125" t="s">
        <v>220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64850885</v>
      </c>
      <c r="EF125">
        <v>3</v>
      </c>
      <c r="EG125" t="s">
        <v>224</v>
      </c>
      <c r="EH125">
        <v>0</v>
      </c>
      <c r="EI125" t="s">
        <v>3</v>
      </c>
      <c r="EJ125">
        <v>2</v>
      </c>
      <c r="EK125">
        <v>108001</v>
      </c>
      <c r="EL125" t="s">
        <v>225</v>
      </c>
      <c r="EM125" t="s">
        <v>226</v>
      </c>
      <c r="EO125" t="s">
        <v>227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0.4</v>
      </c>
      <c r="EX125">
        <v>0.01</v>
      </c>
      <c r="EY125">
        <v>0</v>
      </c>
      <c r="FQ125">
        <v>0</v>
      </c>
      <c r="FR125">
        <f t="shared" si="74"/>
        <v>0</v>
      </c>
      <c r="FS125">
        <v>0</v>
      </c>
      <c r="FX125">
        <v>97</v>
      </c>
      <c r="FY125">
        <v>51</v>
      </c>
      <c r="GA125" t="s">
        <v>3</v>
      </c>
      <c r="GD125">
        <v>1</v>
      </c>
      <c r="GF125">
        <v>604097301</v>
      </c>
      <c r="GG125">
        <v>2</v>
      </c>
      <c r="GH125">
        <v>1</v>
      </c>
      <c r="GI125">
        <v>-2</v>
      </c>
      <c r="GJ125">
        <v>0</v>
      </c>
      <c r="GK125">
        <v>0</v>
      </c>
      <c r="GL125">
        <f t="shared" si="75"/>
        <v>0</v>
      </c>
      <c r="GM125">
        <f t="shared" si="76"/>
        <v>469.33</v>
      </c>
      <c r="GN125">
        <f t="shared" si="77"/>
        <v>0</v>
      </c>
      <c r="GO125">
        <f t="shared" si="78"/>
        <v>469.33</v>
      </c>
      <c r="GP125">
        <f t="shared" si="79"/>
        <v>0</v>
      </c>
      <c r="GR125">
        <v>0</v>
      </c>
      <c r="GS125">
        <v>0</v>
      </c>
      <c r="GT125">
        <v>0</v>
      </c>
      <c r="GU125" t="s">
        <v>3</v>
      </c>
      <c r="GV125">
        <f t="shared" si="80"/>
        <v>0</v>
      </c>
      <c r="GW125">
        <v>1</v>
      </c>
      <c r="GX125">
        <f t="shared" si="81"/>
        <v>0</v>
      </c>
      <c r="HA125">
        <v>0</v>
      </c>
      <c r="HB125">
        <v>0</v>
      </c>
      <c r="HC125">
        <f t="shared" si="82"/>
        <v>0</v>
      </c>
      <c r="HE125" t="s">
        <v>3</v>
      </c>
      <c r="HF125" t="s">
        <v>3</v>
      </c>
      <c r="HM125" t="s">
        <v>3</v>
      </c>
      <c r="HN125" t="s">
        <v>228</v>
      </c>
      <c r="HO125" t="s">
        <v>229</v>
      </c>
      <c r="HP125" t="s">
        <v>225</v>
      </c>
      <c r="HQ125" t="s">
        <v>225</v>
      </c>
      <c r="IK125">
        <v>0</v>
      </c>
    </row>
    <row r="126" spans="1:245" x14ac:dyDescent="0.2">
      <c r="A126">
        <v>17</v>
      </c>
      <c r="B126">
        <v>1</v>
      </c>
      <c r="C126">
        <f>ROW(SmtRes!A188)</f>
        <v>188</v>
      </c>
      <c r="D126">
        <f>ROW(EtalonRes!A188)</f>
        <v>188</v>
      </c>
      <c r="E126" t="s">
        <v>252</v>
      </c>
      <c r="F126" t="s">
        <v>253</v>
      </c>
      <c r="G126" t="s">
        <v>254</v>
      </c>
      <c r="H126" t="s">
        <v>255</v>
      </c>
      <c r="I126">
        <f>ROUND(8/10,7)</f>
        <v>0.8</v>
      </c>
      <c r="J126">
        <v>0</v>
      </c>
      <c r="K126">
        <f>ROUND(8/10,7)</f>
        <v>0.8</v>
      </c>
      <c r="O126">
        <f t="shared" si="61"/>
        <v>1407.49</v>
      </c>
      <c r="P126">
        <f>SUMIF(SmtRes!AQ182:'SmtRes'!AQ188,"=1",SmtRes!DF182:'SmtRes'!DF188)</f>
        <v>0</v>
      </c>
      <c r="Q126">
        <f>SUMIF(SmtRes!AQ182:'SmtRes'!AQ188,"=1",SmtRes!DG182:'SmtRes'!DG188)</f>
        <v>147.53</v>
      </c>
      <c r="R126">
        <f>SUMIF(SmtRes!AQ182:'SmtRes'!AQ188,"=1",SmtRes!DH182:'SmtRes'!DH188)</f>
        <v>74.490000000000009</v>
      </c>
      <c r="S126">
        <f>SUMIF(SmtRes!AQ182:'SmtRes'!AQ188,"=1",SmtRes!DI182:'SmtRes'!DI188)</f>
        <v>1185.47</v>
      </c>
      <c r="T126">
        <f t="shared" si="62"/>
        <v>0</v>
      </c>
      <c r="U126">
        <f>SUMIF(SmtRes!AQ182:'SmtRes'!AQ188,"=1",SmtRes!CV182:'SmtRes'!CV188)</f>
        <v>2.472</v>
      </c>
      <c r="V126">
        <f>SUMIF(SmtRes!AQ182:'SmtRes'!AQ188,"=1",SmtRes!CW182:'SmtRes'!CW188)</f>
        <v>0.12959999999999999</v>
      </c>
      <c r="W126">
        <f t="shared" si="63"/>
        <v>0</v>
      </c>
      <c r="X126">
        <f t="shared" si="64"/>
        <v>1222.1600000000001</v>
      </c>
      <c r="Y126">
        <f t="shared" si="64"/>
        <v>642.58000000000004</v>
      </c>
      <c r="AA126">
        <v>65170852</v>
      </c>
      <c r="AB126">
        <f t="shared" si="65"/>
        <v>1658.1212700000001</v>
      </c>
      <c r="AC126">
        <f t="shared" si="66"/>
        <v>0</v>
      </c>
      <c r="AD126">
        <f>ROUND((((SUM(SmtRes!BR182:'SmtRes'!BR188))-(SUM(SmtRes!BS182:'SmtRes'!BS188)))+AE126),6)</f>
        <v>176.28086999999999</v>
      </c>
      <c r="AE126">
        <f>ROUND((SUM(SmtRes!BS182:'SmtRes'!BS188)),6)</f>
        <v>93.108689999999996</v>
      </c>
      <c r="AF126">
        <f>ROUND((SUM(SmtRes!BT182:'SmtRes'!BT188)),6)</f>
        <v>1481.8404</v>
      </c>
      <c r="AG126">
        <f t="shared" si="67"/>
        <v>0</v>
      </c>
      <c r="AH126">
        <f>(SUM(SmtRes!BU182:'SmtRes'!BU188))</f>
        <v>3.0900000000000003</v>
      </c>
      <c r="AI126">
        <f>(SUM(SmtRes!BV182:'SmtRes'!BV188))</f>
        <v>0.16200000000000001</v>
      </c>
      <c r="AJ126">
        <f t="shared" si="68"/>
        <v>0</v>
      </c>
      <c r="AK126">
        <v>8137.2308000000003</v>
      </c>
      <c r="AL126">
        <v>2299.7975999999999</v>
      </c>
      <c r="AM126">
        <v>587.60290000000009</v>
      </c>
      <c r="AN126">
        <v>310.36230000000006</v>
      </c>
      <c r="AO126">
        <v>4939.4680000000008</v>
      </c>
      <c r="AP126">
        <v>0</v>
      </c>
      <c r="AQ126">
        <v>10.3</v>
      </c>
      <c r="AR126">
        <v>0.54</v>
      </c>
      <c r="AS126">
        <v>0</v>
      </c>
      <c r="AT126">
        <v>97</v>
      </c>
      <c r="AU126">
        <v>51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2</v>
      </c>
      <c r="BJ126" t="s">
        <v>256</v>
      </c>
      <c r="BM126">
        <v>108001</v>
      </c>
      <c r="BN126">
        <v>0</v>
      </c>
      <c r="BO126" t="s">
        <v>3</v>
      </c>
      <c r="BP126">
        <v>0</v>
      </c>
      <c r="BQ126">
        <v>3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97</v>
      </c>
      <c r="CA126">
        <v>51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222</v>
      </c>
      <c r="CO126">
        <v>0</v>
      </c>
      <c r="CP126">
        <f t="shared" si="69"/>
        <v>1407.49</v>
      </c>
      <c r="CQ126">
        <f>SUMIF(SmtRes!AQ182:'SmtRes'!AQ188,"=1",SmtRes!AA182:'SmtRes'!AA188)</f>
        <v>1269.07</v>
      </c>
      <c r="CR126">
        <f>SUMIF(SmtRes!AQ182:'SmtRes'!AQ188,"=1",SmtRes!AB182:'SmtRes'!AB188)</f>
        <v>2155.7900000000004</v>
      </c>
      <c r="CS126">
        <f>SUMIF(SmtRes!AQ182:'SmtRes'!AQ188,"=1",SmtRes!AC182:'SmtRes'!AC188)</f>
        <v>1149.49</v>
      </c>
      <c r="CT126">
        <f>SUMIF(SmtRes!AQ182:'SmtRes'!AQ188,"=1",SmtRes!AD182:'SmtRes'!AD188)</f>
        <v>479.56</v>
      </c>
      <c r="CU126">
        <f t="shared" si="70"/>
        <v>0</v>
      </c>
      <c r="CV126">
        <f>SUMIF(SmtRes!AQ182:'SmtRes'!AQ188,"=1",SmtRes!BU182:'SmtRes'!BU188)</f>
        <v>3.0900000000000003</v>
      </c>
      <c r="CW126">
        <f>SUMIF(SmtRes!AQ182:'SmtRes'!AQ188,"=1",SmtRes!BV182:'SmtRes'!BV188)</f>
        <v>0.16200000000000001</v>
      </c>
      <c r="CX126">
        <f t="shared" si="71"/>
        <v>0</v>
      </c>
      <c r="CY126">
        <f t="shared" si="72"/>
        <v>1222.1612</v>
      </c>
      <c r="CZ126">
        <f t="shared" si="73"/>
        <v>642.57960000000003</v>
      </c>
      <c r="DB126">
        <v>12</v>
      </c>
      <c r="DC126" t="s">
        <v>3</v>
      </c>
      <c r="DD126" t="s">
        <v>97</v>
      </c>
      <c r="DE126" t="s">
        <v>223</v>
      </c>
      <c r="DF126" t="s">
        <v>223</v>
      </c>
      <c r="DG126" t="s">
        <v>223</v>
      </c>
      <c r="DH126" t="s">
        <v>3</v>
      </c>
      <c r="DI126" t="s">
        <v>223</v>
      </c>
      <c r="DJ126" t="s">
        <v>223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1013</v>
      </c>
      <c r="DV126" t="s">
        <v>255</v>
      </c>
      <c r="DW126" t="s">
        <v>255</v>
      </c>
      <c r="DX126">
        <v>1</v>
      </c>
      <c r="DZ126" t="s">
        <v>3</v>
      </c>
      <c r="EA126" t="s">
        <v>3</v>
      </c>
      <c r="EB126" t="s">
        <v>3</v>
      </c>
      <c r="EC126" t="s">
        <v>3</v>
      </c>
      <c r="EE126">
        <v>64850885</v>
      </c>
      <c r="EF126">
        <v>3</v>
      </c>
      <c r="EG126" t="s">
        <v>224</v>
      </c>
      <c r="EH126">
        <v>0</v>
      </c>
      <c r="EI126" t="s">
        <v>3</v>
      </c>
      <c r="EJ126">
        <v>2</v>
      </c>
      <c r="EK126">
        <v>108001</v>
      </c>
      <c r="EL126" t="s">
        <v>225</v>
      </c>
      <c r="EM126" t="s">
        <v>226</v>
      </c>
      <c r="EO126" t="s">
        <v>227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10.3</v>
      </c>
      <c r="EX126">
        <v>0.54</v>
      </c>
      <c r="EY126">
        <v>0</v>
      </c>
      <c r="FQ126">
        <v>0</v>
      </c>
      <c r="FR126">
        <f t="shared" si="74"/>
        <v>0</v>
      </c>
      <c r="FS126">
        <v>0</v>
      </c>
      <c r="FX126">
        <v>97</v>
      </c>
      <c r="FY126">
        <v>51</v>
      </c>
      <c r="GA126" t="s">
        <v>3</v>
      </c>
      <c r="GD126">
        <v>1</v>
      </c>
      <c r="GF126">
        <v>-592433226</v>
      </c>
      <c r="GG126">
        <v>2</v>
      </c>
      <c r="GH126">
        <v>1</v>
      </c>
      <c r="GI126">
        <v>-2</v>
      </c>
      <c r="GJ126">
        <v>0</v>
      </c>
      <c r="GK126">
        <v>0</v>
      </c>
      <c r="GL126">
        <f t="shared" si="75"/>
        <v>0</v>
      </c>
      <c r="GM126">
        <f t="shared" si="76"/>
        <v>3272.23</v>
      </c>
      <c r="GN126">
        <f t="shared" si="77"/>
        <v>0</v>
      </c>
      <c r="GO126">
        <f t="shared" si="78"/>
        <v>3272.23</v>
      </c>
      <c r="GP126">
        <f t="shared" si="79"/>
        <v>0</v>
      </c>
      <c r="GR126">
        <v>0</v>
      </c>
      <c r="GS126">
        <v>0</v>
      </c>
      <c r="GT126">
        <v>0</v>
      </c>
      <c r="GU126" t="s">
        <v>3</v>
      </c>
      <c r="GV126">
        <f t="shared" si="80"/>
        <v>0</v>
      </c>
      <c r="GW126">
        <v>1</v>
      </c>
      <c r="GX126">
        <f t="shared" si="81"/>
        <v>0</v>
      </c>
      <c r="HA126">
        <v>0</v>
      </c>
      <c r="HB126">
        <v>0</v>
      </c>
      <c r="HC126">
        <f t="shared" si="82"/>
        <v>0</v>
      </c>
      <c r="HE126" t="s">
        <v>3</v>
      </c>
      <c r="HF126" t="s">
        <v>3</v>
      </c>
      <c r="HM126" t="s">
        <v>3</v>
      </c>
      <c r="HN126" t="s">
        <v>228</v>
      </c>
      <c r="HO126" t="s">
        <v>229</v>
      </c>
      <c r="HP126" t="s">
        <v>225</v>
      </c>
      <c r="HQ126" t="s">
        <v>225</v>
      </c>
      <c r="IK126">
        <v>0</v>
      </c>
    </row>
    <row r="127" spans="1:245" x14ac:dyDescent="0.2">
      <c r="A127">
        <v>17</v>
      </c>
      <c r="B127">
        <v>1</v>
      </c>
      <c r="C127">
        <f>ROW(SmtRes!A197)</f>
        <v>197</v>
      </c>
      <c r="D127">
        <f>ROW(EtalonRes!A197)</f>
        <v>197</v>
      </c>
      <c r="E127" t="s">
        <v>257</v>
      </c>
      <c r="F127" t="s">
        <v>258</v>
      </c>
      <c r="G127" t="s">
        <v>259</v>
      </c>
      <c r="H127" t="s">
        <v>260</v>
      </c>
      <c r="I127">
        <f>ROUND(42/100,7)</f>
        <v>0.42</v>
      </c>
      <c r="J127">
        <v>0</v>
      </c>
      <c r="K127">
        <f>ROUND(42/100,7)</f>
        <v>0.42</v>
      </c>
      <c r="O127">
        <f t="shared" si="61"/>
        <v>1222.5</v>
      </c>
      <c r="P127">
        <f>SUMIF(SmtRes!AQ189:'SmtRes'!AQ197,"=1",SmtRes!DF189:'SmtRes'!DF197)</f>
        <v>0</v>
      </c>
      <c r="Q127">
        <f>SUMIF(SmtRes!AQ189:'SmtRes'!AQ197,"=1",SmtRes!DG189:'SmtRes'!DG197)</f>
        <v>71.330000000000013</v>
      </c>
      <c r="R127">
        <f>SUMIF(SmtRes!AQ189:'SmtRes'!AQ197,"=1",SmtRes!DH189:'SmtRes'!DH197)</f>
        <v>33.32</v>
      </c>
      <c r="S127">
        <f>SUMIF(SmtRes!AQ189:'SmtRes'!AQ197,"=1",SmtRes!DI189:'SmtRes'!DI197)</f>
        <v>1117.8499999999999</v>
      </c>
      <c r="T127">
        <f t="shared" si="62"/>
        <v>0</v>
      </c>
      <c r="U127">
        <f>SUMIF(SmtRes!AQ189:'SmtRes'!AQ197,"=1",SmtRes!CV189:'SmtRes'!CV197)</f>
        <v>2.331</v>
      </c>
      <c r="V127">
        <f>SUMIF(SmtRes!AQ189:'SmtRes'!AQ197,"=1",SmtRes!CW189:'SmtRes'!CW197)</f>
        <v>5.7959999999999998E-2</v>
      </c>
      <c r="W127">
        <f t="shared" si="63"/>
        <v>0</v>
      </c>
      <c r="X127">
        <f t="shared" si="64"/>
        <v>1116.6300000000001</v>
      </c>
      <c r="Y127">
        <f t="shared" si="64"/>
        <v>587.1</v>
      </c>
      <c r="AA127">
        <v>65170852</v>
      </c>
      <c r="AB127">
        <f t="shared" si="65"/>
        <v>2824.4649899999999</v>
      </c>
      <c r="AC127">
        <f t="shared" si="66"/>
        <v>0</v>
      </c>
      <c r="AD127">
        <f>ROUND((((SUM(SmtRes!BR189:'SmtRes'!BR197))-(SUM(SmtRes!BS189:'SmtRes'!BS197)))+AE127),6)</f>
        <v>162.90699000000001</v>
      </c>
      <c r="AE127">
        <f>ROUND((SUM(SmtRes!BS189:'SmtRes'!BS197)),6)</f>
        <v>79.314809999999994</v>
      </c>
      <c r="AF127">
        <f>ROUND((SUM(SmtRes!BT189:'SmtRes'!BT197)),6)</f>
        <v>2661.558</v>
      </c>
      <c r="AG127">
        <f t="shared" si="67"/>
        <v>0</v>
      </c>
      <c r="AH127">
        <f>(SUM(SmtRes!BU189:'SmtRes'!BU197))</f>
        <v>5.55</v>
      </c>
      <c r="AI127">
        <f>(SUM(SmtRes!BV189:'SmtRes'!BV197))</f>
        <v>0.13800000000000001</v>
      </c>
      <c r="AJ127">
        <f t="shared" si="68"/>
        <v>0</v>
      </c>
      <c r="AK127">
        <v>12262.699000000001</v>
      </c>
      <c r="AL127">
        <v>2583.433</v>
      </c>
      <c r="AM127">
        <v>543.02330000000006</v>
      </c>
      <c r="AN127">
        <v>264.3827</v>
      </c>
      <c r="AO127">
        <v>8871.86</v>
      </c>
      <c r="AP127">
        <v>0</v>
      </c>
      <c r="AQ127">
        <v>18.5</v>
      </c>
      <c r="AR127">
        <v>0.46</v>
      </c>
      <c r="AS127">
        <v>0</v>
      </c>
      <c r="AT127">
        <v>97</v>
      </c>
      <c r="AU127">
        <v>51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2</v>
      </c>
      <c r="BJ127" t="s">
        <v>261</v>
      </c>
      <c r="BM127">
        <v>108001</v>
      </c>
      <c r="BN127">
        <v>0</v>
      </c>
      <c r="BO127" t="s">
        <v>3</v>
      </c>
      <c r="BP127">
        <v>0</v>
      </c>
      <c r="BQ127">
        <v>3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97</v>
      </c>
      <c r="CA127">
        <v>51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222</v>
      </c>
      <c r="CO127">
        <v>0</v>
      </c>
      <c r="CP127">
        <f t="shared" si="69"/>
        <v>1222.4999999999998</v>
      </c>
      <c r="CQ127">
        <f>SUMIF(SmtRes!AQ189:'SmtRes'!AQ197,"=1",SmtRes!AA189:'SmtRes'!AA197)</f>
        <v>62442.159999999996</v>
      </c>
      <c r="CR127">
        <f>SUMIF(SmtRes!AQ189:'SmtRes'!AQ197,"=1",SmtRes!AB189:'SmtRes'!AB197)</f>
        <v>2155.7900000000004</v>
      </c>
      <c r="CS127">
        <f>SUMIF(SmtRes!AQ189:'SmtRes'!AQ197,"=1",SmtRes!AC189:'SmtRes'!AC197)</f>
        <v>1149.49</v>
      </c>
      <c r="CT127">
        <f>SUMIF(SmtRes!AQ189:'SmtRes'!AQ197,"=1",SmtRes!AD189:'SmtRes'!AD197)</f>
        <v>479.56</v>
      </c>
      <c r="CU127">
        <f t="shared" si="70"/>
        <v>0</v>
      </c>
      <c r="CV127">
        <f>SUMIF(SmtRes!AQ189:'SmtRes'!AQ197,"=1",SmtRes!BU189:'SmtRes'!BU197)</f>
        <v>5.55</v>
      </c>
      <c r="CW127">
        <f>SUMIF(SmtRes!AQ189:'SmtRes'!AQ197,"=1",SmtRes!BV189:'SmtRes'!BV197)</f>
        <v>0.13800000000000001</v>
      </c>
      <c r="CX127">
        <f t="shared" si="71"/>
        <v>0</v>
      </c>
      <c r="CY127">
        <f t="shared" si="72"/>
        <v>1116.6349</v>
      </c>
      <c r="CZ127">
        <f t="shared" si="73"/>
        <v>587.09669999999994</v>
      </c>
      <c r="DB127">
        <v>13</v>
      </c>
      <c r="DC127" t="s">
        <v>3</v>
      </c>
      <c r="DD127" t="s">
        <v>97</v>
      </c>
      <c r="DE127" t="s">
        <v>223</v>
      </c>
      <c r="DF127" t="s">
        <v>223</v>
      </c>
      <c r="DG127" t="s">
        <v>223</v>
      </c>
      <c r="DH127" t="s">
        <v>3</v>
      </c>
      <c r="DI127" t="s">
        <v>223</v>
      </c>
      <c r="DJ127" t="s">
        <v>223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1003</v>
      </c>
      <c r="DV127" t="s">
        <v>260</v>
      </c>
      <c r="DW127" t="s">
        <v>260</v>
      </c>
      <c r="DX127">
        <v>100</v>
      </c>
      <c r="DZ127" t="s">
        <v>3</v>
      </c>
      <c r="EA127" t="s">
        <v>3</v>
      </c>
      <c r="EB127" t="s">
        <v>3</v>
      </c>
      <c r="EC127" t="s">
        <v>3</v>
      </c>
      <c r="EE127">
        <v>64850885</v>
      </c>
      <c r="EF127">
        <v>3</v>
      </c>
      <c r="EG127" t="s">
        <v>224</v>
      </c>
      <c r="EH127">
        <v>0</v>
      </c>
      <c r="EI127" t="s">
        <v>3</v>
      </c>
      <c r="EJ127">
        <v>2</v>
      </c>
      <c r="EK127">
        <v>108001</v>
      </c>
      <c r="EL127" t="s">
        <v>225</v>
      </c>
      <c r="EM127" t="s">
        <v>226</v>
      </c>
      <c r="EO127" t="s">
        <v>227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18.5</v>
      </c>
      <c r="EX127">
        <v>0.46</v>
      </c>
      <c r="EY127">
        <v>0</v>
      </c>
      <c r="FQ127">
        <v>0</v>
      </c>
      <c r="FR127">
        <f t="shared" si="74"/>
        <v>0</v>
      </c>
      <c r="FS127">
        <v>0</v>
      </c>
      <c r="FX127">
        <v>97</v>
      </c>
      <c r="FY127">
        <v>51</v>
      </c>
      <c r="GA127" t="s">
        <v>3</v>
      </c>
      <c r="GD127">
        <v>1</v>
      </c>
      <c r="GF127">
        <v>1740650339</v>
      </c>
      <c r="GG127">
        <v>2</v>
      </c>
      <c r="GH127">
        <v>1</v>
      </c>
      <c r="GI127">
        <v>-2</v>
      </c>
      <c r="GJ127">
        <v>0</v>
      </c>
      <c r="GK127">
        <v>0</v>
      </c>
      <c r="GL127">
        <f t="shared" si="75"/>
        <v>0</v>
      </c>
      <c r="GM127">
        <f t="shared" si="76"/>
        <v>2926.23</v>
      </c>
      <c r="GN127">
        <f t="shared" si="77"/>
        <v>0</v>
      </c>
      <c r="GO127">
        <f t="shared" si="78"/>
        <v>2926.23</v>
      </c>
      <c r="GP127">
        <f t="shared" si="79"/>
        <v>0</v>
      </c>
      <c r="GR127">
        <v>0</v>
      </c>
      <c r="GS127">
        <v>0</v>
      </c>
      <c r="GT127">
        <v>0</v>
      </c>
      <c r="GU127" t="s">
        <v>3</v>
      </c>
      <c r="GV127">
        <f t="shared" si="80"/>
        <v>0</v>
      </c>
      <c r="GW127">
        <v>1</v>
      </c>
      <c r="GX127">
        <f t="shared" si="81"/>
        <v>0</v>
      </c>
      <c r="HA127">
        <v>0</v>
      </c>
      <c r="HB127">
        <v>0</v>
      </c>
      <c r="HC127">
        <f t="shared" si="82"/>
        <v>0</v>
      </c>
      <c r="HE127" t="s">
        <v>3</v>
      </c>
      <c r="HF127" t="s">
        <v>3</v>
      </c>
      <c r="HM127" t="s">
        <v>3</v>
      </c>
      <c r="HN127" t="s">
        <v>228</v>
      </c>
      <c r="HO127" t="s">
        <v>229</v>
      </c>
      <c r="HP127" t="s">
        <v>225</v>
      </c>
      <c r="HQ127" t="s">
        <v>225</v>
      </c>
      <c r="IK127">
        <v>0</v>
      </c>
    </row>
    <row r="129" spans="1:206" x14ac:dyDescent="0.2">
      <c r="A129" s="2">
        <v>51</v>
      </c>
      <c r="B129" s="2">
        <f>B117</f>
        <v>1</v>
      </c>
      <c r="C129" s="2">
        <f>A117</f>
        <v>4</v>
      </c>
      <c r="D129" s="2">
        <f>ROW(A117)</f>
        <v>117</v>
      </c>
      <c r="E129" s="2"/>
      <c r="F129" s="2" t="str">
        <f>IF(F117&lt;&gt;"",F117,"")</f>
        <v>Новый раздел</v>
      </c>
      <c r="G129" s="2" t="str">
        <f>IF(G117&lt;&gt;"",G117,"")</f>
        <v>Демонтажные работы</v>
      </c>
      <c r="H129" s="2">
        <v>0</v>
      </c>
      <c r="I129" s="2"/>
      <c r="J129" s="2"/>
      <c r="K129" s="2"/>
      <c r="L129" s="2"/>
      <c r="M129" s="2"/>
      <c r="N129" s="2"/>
      <c r="O129" s="2">
        <f t="shared" ref="O129:T129" si="83">ROUND(AB129,2)</f>
        <v>17277.12</v>
      </c>
      <c r="P129" s="2">
        <f t="shared" si="83"/>
        <v>0</v>
      </c>
      <c r="Q129" s="2">
        <f t="shared" si="83"/>
        <v>4452.7299999999996</v>
      </c>
      <c r="R129" s="2">
        <f t="shared" si="83"/>
        <v>2100.5100000000002</v>
      </c>
      <c r="S129" s="2">
        <f t="shared" si="83"/>
        <v>10723.88</v>
      </c>
      <c r="T129" s="2">
        <f t="shared" si="83"/>
        <v>0</v>
      </c>
      <c r="U129" s="2">
        <f>AH129</f>
        <v>21.873839999999998</v>
      </c>
      <c r="V129" s="2">
        <f>AI129</f>
        <v>3.4168800000000004</v>
      </c>
      <c r="W129" s="2">
        <f>ROUND(AJ129,2)</f>
        <v>0</v>
      </c>
      <c r="X129" s="2">
        <f>ROUND(AK129,2)</f>
        <v>12527.69</v>
      </c>
      <c r="Y129" s="2">
        <f>ROUND(AL129,2)</f>
        <v>6672.53</v>
      </c>
      <c r="Z129" s="2"/>
      <c r="AA129" s="2"/>
      <c r="AB129" s="2">
        <f>ROUND(SUMIF(AA121:AA127,"=65170852",O121:O127),2)</f>
        <v>17277.12</v>
      </c>
      <c r="AC129" s="2">
        <f>ROUND(SUMIF(AA121:AA127,"=65170852",P121:P127),2)</f>
        <v>0</v>
      </c>
      <c r="AD129" s="2">
        <f>ROUND(SUMIF(AA121:AA127,"=65170852",Q121:Q127),2)</f>
        <v>4452.7299999999996</v>
      </c>
      <c r="AE129" s="2">
        <f>ROUND(SUMIF(AA121:AA127,"=65170852",R121:R127),2)</f>
        <v>2100.5100000000002</v>
      </c>
      <c r="AF129" s="2">
        <f>ROUND(SUMIF(AA121:AA127,"=65170852",S121:S127),2)</f>
        <v>10723.88</v>
      </c>
      <c r="AG129" s="2">
        <f>ROUND(SUMIF(AA121:AA127,"=65170852",T121:T127),2)</f>
        <v>0</v>
      </c>
      <c r="AH129" s="2">
        <f>SUMIF(AA121:AA127,"=65170852",U121:U127)</f>
        <v>21.873839999999998</v>
      </c>
      <c r="AI129" s="2">
        <f>SUMIF(AA121:AA127,"=65170852",V121:V127)</f>
        <v>3.4168800000000004</v>
      </c>
      <c r="AJ129" s="2">
        <f>ROUND(SUMIF(AA121:AA127,"=65170852",W121:W127),2)</f>
        <v>0</v>
      </c>
      <c r="AK129" s="2">
        <f>ROUND(SUMIF(AA121:AA127,"=65170852",X121:X127),2)</f>
        <v>12527.69</v>
      </c>
      <c r="AL129" s="2">
        <f>ROUND(SUMIF(AA121:AA127,"=65170852",Y121:Y127),2)</f>
        <v>6672.53</v>
      </c>
      <c r="AM129" s="2"/>
      <c r="AN129" s="2"/>
      <c r="AO129" s="2">
        <f t="shared" ref="AO129:BD129" si="84">ROUND(BX129,2)</f>
        <v>0</v>
      </c>
      <c r="AP129" s="2">
        <f t="shared" si="84"/>
        <v>0</v>
      </c>
      <c r="AQ129" s="2">
        <f t="shared" si="84"/>
        <v>0</v>
      </c>
      <c r="AR129" s="2">
        <f t="shared" si="84"/>
        <v>36477.339999999997</v>
      </c>
      <c r="AS129" s="2">
        <f t="shared" si="84"/>
        <v>4246.5</v>
      </c>
      <c r="AT129" s="2">
        <f t="shared" si="84"/>
        <v>32230.84</v>
      </c>
      <c r="AU129" s="2">
        <f t="shared" si="84"/>
        <v>0</v>
      </c>
      <c r="AV129" s="2">
        <f t="shared" si="84"/>
        <v>0</v>
      </c>
      <c r="AW129" s="2">
        <f t="shared" si="84"/>
        <v>0</v>
      </c>
      <c r="AX129" s="2">
        <f t="shared" si="84"/>
        <v>0</v>
      </c>
      <c r="AY129" s="2">
        <f t="shared" si="84"/>
        <v>0</v>
      </c>
      <c r="AZ129" s="2">
        <f t="shared" si="84"/>
        <v>0</v>
      </c>
      <c r="BA129" s="2">
        <f t="shared" si="84"/>
        <v>0</v>
      </c>
      <c r="BB129" s="2">
        <f t="shared" si="84"/>
        <v>0</v>
      </c>
      <c r="BC129" s="2">
        <f t="shared" si="84"/>
        <v>0</v>
      </c>
      <c r="BD129" s="2">
        <f t="shared" si="84"/>
        <v>0</v>
      </c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>
        <f>ROUND(SUMIF(AA121:AA127,"=65170852",FQ121:FQ127),2)</f>
        <v>0</v>
      </c>
      <c r="BY129" s="2">
        <f>ROUND(SUMIF(AA121:AA127,"=65170852",FR121:FR127),2)</f>
        <v>0</v>
      </c>
      <c r="BZ129" s="2">
        <f>ROUND(SUMIF(AA121:AA127,"=65170852",GL121:GL127),2)</f>
        <v>0</v>
      </c>
      <c r="CA129" s="2">
        <f>ROUND(SUMIF(AA121:AA127,"=65170852",GM121:GM127),2)</f>
        <v>36477.339999999997</v>
      </c>
      <c r="CB129" s="2">
        <f>ROUND(SUMIF(AA121:AA127,"=65170852",GN121:GN127),2)</f>
        <v>4246.5</v>
      </c>
      <c r="CC129" s="2">
        <f>ROUND(SUMIF(AA121:AA127,"=65170852",GO121:GO127),2)</f>
        <v>32230.84</v>
      </c>
      <c r="CD129" s="2">
        <f>ROUND(SUMIF(AA121:AA127,"=65170852",GP121:GP127),2)</f>
        <v>0</v>
      </c>
      <c r="CE129" s="2">
        <f>AC129-BX129</f>
        <v>0</v>
      </c>
      <c r="CF129" s="2">
        <f>AC129-BY129</f>
        <v>0</v>
      </c>
      <c r="CG129" s="2">
        <f>BX129-BZ129</f>
        <v>0</v>
      </c>
      <c r="CH129" s="2">
        <f>AC129-BX129-BY129+BZ129</f>
        <v>0</v>
      </c>
      <c r="CI129" s="2">
        <f>BY129-BZ129</f>
        <v>0</v>
      </c>
      <c r="CJ129" s="2">
        <f>ROUND(SUMIF(AA121:AA127,"=65170852",GX121:GX127),2)</f>
        <v>0</v>
      </c>
      <c r="CK129" s="2">
        <f>ROUND(SUMIF(AA121:AA127,"=65170852",GY121:GY127),2)</f>
        <v>0</v>
      </c>
      <c r="CL129" s="2">
        <f>ROUND(SUMIF(AA121:AA127,"=65170852",GZ121:GZ127),2)</f>
        <v>0</v>
      </c>
      <c r="CM129" s="2">
        <f>ROUND(SUMIF(AA121:AA127,"=65170852",HD121:HD127),2)</f>
        <v>0</v>
      </c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>
        <v>0</v>
      </c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201</v>
      </c>
      <c r="F131" s="4">
        <f>ROUND(Source!O129,O131)</f>
        <v>17277.12</v>
      </c>
      <c r="G131" s="4" t="s">
        <v>16</v>
      </c>
      <c r="H131" s="4" t="s">
        <v>17</v>
      </c>
      <c r="I131" s="4"/>
      <c r="J131" s="4"/>
      <c r="K131" s="4">
        <v>201</v>
      </c>
      <c r="L131" s="4">
        <v>1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17277.12</v>
      </c>
      <c r="X131" s="4">
        <v>1</v>
      </c>
      <c r="Y131" s="4">
        <v>17277.12</v>
      </c>
      <c r="Z131" s="4"/>
      <c r="AA131" s="4"/>
      <c r="AB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202</v>
      </c>
      <c r="F132" s="4">
        <f>ROUND(Source!P129,O132)</f>
        <v>0</v>
      </c>
      <c r="G132" s="4" t="s">
        <v>18</v>
      </c>
      <c r="H132" s="4" t="s">
        <v>19</v>
      </c>
      <c r="I132" s="4"/>
      <c r="J132" s="4"/>
      <c r="K132" s="4">
        <v>202</v>
      </c>
      <c r="L132" s="4">
        <v>2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222</v>
      </c>
      <c r="F133" s="4">
        <f>ROUND(Source!AO129,O133)</f>
        <v>0</v>
      </c>
      <c r="G133" s="4" t="s">
        <v>20</v>
      </c>
      <c r="H133" s="4" t="s">
        <v>21</v>
      </c>
      <c r="I133" s="4"/>
      <c r="J133" s="4"/>
      <c r="K133" s="4">
        <v>222</v>
      </c>
      <c r="L133" s="4">
        <v>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225</v>
      </c>
      <c r="F134" s="4">
        <f>ROUND(Source!AV129,O134)</f>
        <v>0</v>
      </c>
      <c r="G134" s="4" t="s">
        <v>22</v>
      </c>
      <c r="H134" s="4" t="s">
        <v>23</v>
      </c>
      <c r="I134" s="4"/>
      <c r="J134" s="4"/>
      <c r="K134" s="4">
        <v>225</v>
      </c>
      <c r="L134" s="4">
        <v>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226</v>
      </c>
      <c r="F135" s="4">
        <f>ROUND(Source!AW129,O135)</f>
        <v>0</v>
      </c>
      <c r="G135" s="4" t="s">
        <v>24</v>
      </c>
      <c r="H135" s="4" t="s">
        <v>25</v>
      </c>
      <c r="I135" s="4"/>
      <c r="J135" s="4"/>
      <c r="K135" s="4">
        <v>226</v>
      </c>
      <c r="L135" s="4">
        <v>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227</v>
      </c>
      <c r="F136" s="4">
        <f>ROUND(Source!AX129,O136)</f>
        <v>0</v>
      </c>
      <c r="G136" s="4" t="s">
        <v>26</v>
      </c>
      <c r="H136" s="4" t="s">
        <v>27</v>
      </c>
      <c r="I136" s="4"/>
      <c r="J136" s="4"/>
      <c r="K136" s="4">
        <v>227</v>
      </c>
      <c r="L136" s="4">
        <v>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228</v>
      </c>
      <c r="F137" s="4">
        <f>ROUND(Source!AY129,O137)</f>
        <v>0</v>
      </c>
      <c r="G137" s="4" t="s">
        <v>28</v>
      </c>
      <c r="H137" s="4" t="s">
        <v>29</v>
      </c>
      <c r="I137" s="4"/>
      <c r="J137" s="4"/>
      <c r="K137" s="4">
        <v>228</v>
      </c>
      <c r="L137" s="4">
        <v>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216</v>
      </c>
      <c r="F138" s="4">
        <f>ROUND(Source!AP129,O138)</f>
        <v>0</v>
      </c>
      <c r="G138" s="4" t="s">
        <v>30</v>
      </c>
      <c r="H138" s="4" t="s">
        <v>31</v>
      </c>
      <c r="I138" s="4"/>
      <c r="J138" s="4"/>
      <c r="K138" s="4">
        <v>216</v>
      </c>
      <c r="L138" s="4">
        <v>8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223</v>
      </c>
      <c r="F139" s="4">
        <f>ROUND(Source!AQ129,O139)</f>
        <v>0</v>
      </c>
      <c r="G139" s="4" t="s">
        <v>32</v>
      </c>
      <c r="H139" s="4" t="s">
        <v>33</v>
      </c>
      <c r="I139" s="4"/>
      <c r="J139" s="4"/>
      <c r="K139" s="4">
        <v>223</v>
      </c>
      <c r="L139" s="4">
        <v>9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229</v>
      </c>
      <c r="F140" s="4">
        <f>ROUND(Source!AZ129,O140)</f>
        <v>0</v>
      </c>
      <c r="G140" s="4" t="s">
        <v>34</v>
      </c>
      <c r="H140" s="4" t="s">
        <v>35</v>
      </c>
      <c r="I140" s="4"/>
      <c r="J140" s="4"/>
      <c r="K140" s="4">
        <v>229</v>
      </c>
      <c r="L140" s="4">
        <v>10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203</v>
      </c>
      <c r="F141" s="4">
        <f>ROUND(Source!Q129,O141)</f>
        <v>4452.7299999999996</v>
      </c>
      <c r="G141" s="4" t="s">
        <v>36</v>
      </c>
      <c r="H141" s="4" t="s">
        <v>37</v>
      </c>
      <c r="I141" s="4"/>
      <c r="J141" s="4"/>
      <c r="K141" s="4">
        <v>203</v>
      </c>
      <c r="L141" s="4">
        <v>11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4452.7299999999996</v>
      </c>
      <c r="X141" s="4">
        <v>1</v>
      </c>
      <c r="Y141" s="4">
        <v>4452.7299999999996</v>
      </c>
      <c r="Z141" s="4"/>
      <c r="AA141" s="4"/>
      <c r="AB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231</v>
      </c>
      <c r="F142" s="4">
        <f>ROUND(Source!BB129,O142)</f>
        <v>0</v>
      </c>
      <c r="G142" s="4" t="s">
        <v>38</v>
      </c>
      <c r="H142" s="4" t="s">
        <v>39</v>
      </c>
      <c r="I142" s="4"/>
      <c r="J142" s="4"/>
      <c r="K142" s="4">
        <v>231</v>
      </c>
      <c r="L142" s="4">
        <v>12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204</v>
      </c>
      <c r="F143" s="4">
        <f>ROUND(Source!R129,O143)</f>
        <v>2100.5100000000002</v>
      </c>
      <c r="G143" s="4" t="s">
        <v>40</v>
      </c>
      <c r="H143" s="4" t="s">
        <v>41</v>
      </c>
      <c r="I143" s="4"/>
      <c r="J143" s="4"/>
      <c r="K143" s="4">
        <v>204</v>
      </c>
      <c r="L143" s="4">
        <v>13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2100.5099999999998</v>
      </c>
      <c r="X143" s="4">
        <v>1</v>
      </c>
      <c r="Y143" s="4">
        <v>2100.5099999999998</v>
      </c>
      <c r="Z143" s="4"/>
      <c r="AA143" s="4"/>
      <c r="AB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205</v>
      </c>
      <c r="F144" s="4">
        <f>ROUND(Source!S129,O144)</f>
        <v>10723.88</v>
      </c>
      <c r="G144" s="4" t="s">
        <v>42</v>
      </c>
      <c r="H144" s="4" t="s">
        <v>43</v>
      </c>
      <c r="I144" s="4"/>
      <c r="J144" s="4"/>
      <c r="K144" s="4">
        <v>205</v>
      </c>
      <c r="L144" s="4">
        <v>14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10723.880000000001</v>
      </c>
      <c r="X144" s="4">
        <v>1</v>
      </c>
      <c r="Y144" s="4">
        <v>10723.880000000001</v>
      </c>
      <c r="Z144" s="4"/>
      <c r="AA144" s="4"/>
      <c r="AB144" s="4"/>
    </row>
    <row r="145" spans="1:88" x14ac:dyDescent="0.2">
      <c r="A145" s="4">
        <v>50</v>
      </c>
      <c r="B145" s="4">
        <v>0</v>
      </c>
      <c r="C145" s="4">
        <v>0</v>
      </c>
      <c r="D145" s="4">
        <v>1</v>
      </c>
      <c r="E145" s="4">
        <v>232</v>
      </c>
      <c r="F145" s="4">
        <f>ROUND(Source!BC129,O145)</f>
        <v>0</v>
      </c>
      <c r="G145" s="4" t="s">
        <v>44</v>
      </c>
      <c r="H145" s="4" t="s">
        <v>45</v>
      </c>
      <c r="I145" s="4"/>
      <c r="J145" s="4"/>
      <c r="K145" s="4">
        <v>232</v>
      </c>
      <c r="L145" s="4">
        <v>15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88" x14ac:dyDescent="0.2">
      <c r="A146" s="4">
        <v>50</v>
      </c>
      <c r="B146" s="4">
        <v>0</v>
      </c>
      <c r="C146" s="4">
        <v>0</v>
      </c>
      <c r="D146" s="4">
        <v>1</v>
      </c>
      <c r="E146" s="4">
        <v>214</v>
      </c>
      <c r="F146" s="4">
        <f>ROUND(Source!AS129,O146)</f>
        <v>4246.5</v>
      </c>
      <c r="G146" s="4" t="s">
        <v>46</v>
      </c>
      <c r="H146" s="4" t="s">
        <v>47</v>
      </c>
      <c r="I146" s="4"/>
      <c r="J146" s="4"/>
      <c r="K146" s="4">
        <v>214</v>
      </c>
      <c r="L146" s="4">
        <v>16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4246.5</v>
      </c>
      <c r="X146" s="4">
        <v>1</v>
      </c>
      <c r="Y146" s="4">
        <v>4246.5</v>
      </c>
      <c r="Z146" s="4"/>
      <c r="AA146" s="4"/>
      <c r="AB146" s="4"/>
    </row>
    <row r="147" spans="1:88" x14ac:dyDescent="0.2">
      <c r="A147" s="4">
        <v>50</v>
      </c>
      <c r="B147" s="4">
        <v>0</v>
      </c>
      <c r="C147" s="4">
        <v>0</v>
      </c>
      <c r="D147" s="4">
        <v>1</v>
      </c>
      <c r="E147" s="4">
        <v>215</v>
      </c>
      <c r="F147" s="4">
        <f>ROUND(Source!AT129,O147)</f>
        <v>32230.84</v>
      </c>
      <c r="G147" s="4" t="s">
        <v>48</v>
      </c>
      <c r="H147" s="4" t="s">
        <v>49</v>
      </c>
      <c r="I147" s="4"/>
      <c r="J147" s="4"/>
      <c r="K147" s="4">
        <v>215</v>
      </c>
      <c r="L147" s="4">
        <v>17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32230.84</v>
      </c>
      <c r="X147" s="4">
        <v>1</v>
      </c>
      <c r="Y147" s="4">
        <v>32230.84</v>
      </c>
      <c r="Z147" s="4"/>
      <c r="AA147" s="4"/>
      <c r="AB147" s="4"/>
    </row>
    <row r="148" spans="1:88" x14ac:dyDescent="0.2">
      <c r="A148" s="4">
        <v>50</v>
      </c>
      <c r="B148" s="4">
        <v>0</v>
      </c>
      <c r="C148" s="4">
        <v>0</v>
      </c>
      <c r="D148" s="4">
        <v>1</v>
      </c>
      <c r="E148" s="4">
        <v>217</v>
      </c>
      <c r="F148" s="4">
        <f>ROUND(Source!AU129,O148)</f>
        <v>0</v>
      </c>
      <c r="G148" s="4" t="s">
        <v>50</v>
      </c>
      <c r="H148" s="4" t="s">
        <v>51</v>
      </c>
      <c r="I148" s="4"/>
      <c r="J148" s="4"/>
      <c r="K148" s="4">
        <v>217</v>
      </c>
      <c r="L148" s="4">
        <v>18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88" x14ac:dyDescent="0.2">
      <c r="A149" s="4">
        <v>50</v>
      </c>
      <c r="B149" s="4">
        <v>0</v>
      </c>
      <c r="C149" s="4">
        <v>0</v>
      </c>
      <c r="D149" s="4">
        <v>1</v>
      </c>
      <c r="E149" s="4">
        <v>230</v>
      </c>
      <c r="F149" s="4">
        <f>ROUND(Source!BA129,O149)</f>
        <v>0</v>
      </c>
      <c r="G149" s="4" t="s">
        <v>52</v>
      </c>
      <c r="H149" s="4" t="s">
        <v>53</v>
      </c>
      <c r="I149" s="4"/>
      <c r="J149" s="4"/>
      <c r="K149" s="4">
        <v>230</v>
      </c>
      <c r="L149" s="4">
        <v>19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88" x14ac:dyDescent="0.2">
      <c r="A150" s="4">
        <v>50</v>
      </c>
      <c r="B150" s="4">
        <v>0</v>
      </c>
      <c r="C150" s="4">
        <v>0</v>
      </c>
      <c r="D150" s="4">
        <v>1</v>
      </c>
      <c r="E150" s="4">
        <v>206</v>
      </c>
      <c r="F150" s="4">
        <f>ROUND(Source!T129,O150)</f>
        <v>0</v>
      </c>
      <c r="G150" s="4" t="s">
        <v>54</v>
      </c>
      <c r="H150" s="4" t="s">
        <v>55</v>
      </c>
      <c r="I150" s="4"/>
      <c r="J150" s="4"/>
      <c r="K150" s="4">
        <v>206</v>
      </c>
      <c r="L150" s="4">
        <v>20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88" x14ac:dyDescent="0.2">
      <c r="A151" s="4">
        <v>50</v>
      </c>
      <c r="B151" s="4">
        <v>0</v>
      </c>
      <c r="C151" s="4">
        <v>0</v>
      </c>
      <c r="D151" s="4">
        <v>1</v>
      </c>
      <c r="E151" s="4">
        <v>207</v>
      </c>
      <c r="F151" s="4">
        <f>ROUND(Source!U129,O151)</f>
        <v>21.873840000000001</v>
      </c>
      <c r="G151" s="4" t="s">
        <v>56</v>
      </c>
      <c r="H151" s="4" t="s">
        <v>57</v>
      </c>
      <c r="I151" s="4"/>
      <c r="J151" s="4"/>
      <c r="K151" s="4">
        <v>207</v>
      </c>
      <c r="L151" s="4">
        <v>21</v>
      </c>
      <c r="M151" s="4">
        <v>3</v>
      </c>
      <c r="N151" s="4" t="s">
        <v>3</v>
      </c>
      <c r="O151" s="4">
        <v>7</v>
      </c>
      <c r="P151" s="4"/>
      <c r="Q151" s="4"/>
      <c r="R151" s="4"/>
      <c r="S151" s="4"/>
      <c r="T151" s="4"/>
      <c r="U151" s="4"/>
      <c r="V151" s="4"/>
      <c r="W151" s="4">
        <v>21.873840000000001</v>
      </c>
      <c r="X151" s="4">
        <v>1</v>
      </c>
      <c r="Y151" s="4">
        <v>21.873840000000001</v>
      </c>
      <c r="Z151" s="4"/>
      <c r="AA151" s="4"/>
      <c r="AB151" s="4"/>
    </row>
    <row r="152" spans="1:88" x14ac:dyDescent="0.2">
      <c r="A152" s="4">
        <v>50</v>
      </c>
      <c r="B152" s="4">
        <v>0</v>
      </c>
      <c r="C152" s="4">
        <v>0</v>
      </c>
      <c r="D152" s="4">
        <v>1</v>
      </c>
      <c r="E152" s="4">
        <v>208</v>
      </c>
      <c r="F152" s="4">
        <f>ROUND(Source!V129,O152)</f>
        <v>3.4168799999999999</v>
      </c>
      <c r="G152" s="4" t="s">
        <v>58</v>
      </c>
      <c r="H152" s="4" t="s">
        <v>59</v>
      </c>
      <c r="I152" s="4"/>
      <c r="J152" s="4"/>
      <c r="K152" s="4">
        <v>208</v>
      </c>
      <c r="L152" s="4">
        <v>22</v>
      </c>
      <c r="M152" s="4">
        <v>3</v>
      </c>
      <c r="N152" s="4" t="s">
        <v>3</v>
      </c>
      <c r="O152" s="4">
        <v>7</v>
      </c>
      <c r="P152" s="4"/>
      <c r="Q152" s="4"/>
      <c r="R152" s="4"/>
      <c r="S152" s="4"/>
      <c r="T152" s="4"/>
      <c r="U152" s="4"/>
      <c r="V152" s="4"/>
      <c r="W152" s="4">
        <v>3.4168799999999999</v>
      </c>
      <c r="X152" s="4">
        <v>1</v>
      </c>
      <c r="Y152" s="4">
        <v>3.4168799999999999</v>
      </c>
      <c r="Z152" s="4"/>
      <c r="AA152" s="4"/>
      <c r="AB152" s="4"/>
    </row>
    <row r="153" spans="1:88" x14ac:dyDescent="0.2">
      <c r="A153" s="4">
        <v>50</v>
      </c>
      <c r="B153" s="4">
        <v>0</v>
      </c>
      <c r="C153" s="4">
        <v>0</v>
      </c>
      <c r="D153" s="4">
        <v>1</v>
      </c>
      <c r="E153" s="4">
        <v>209</v>
      </c>
      <c r="F153" s="4">
        <f>ROUND(Source!W129,O153)</f>
        <v>0</v>
      </c>
      <c r="G153" s="4" t="s">
        <v>60</v>
      </c>
      <c r="H153" s="4" t="s">
        <v>61</v>
      </c>
      <c r="I153" s="4"/>
      <c r="J153" s="4"/>
      <c r="K153" s="4">
        <v>209</v>
      </c>
      <c r="L153" s="4">
        <v>23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88" x14ac:dyDescent="0.2">
      <c r="A154" s="4">
        <v>50</v>
      </c>
      <c r="B154" s="4">
        <v>0</v>
      </c>
      <c r="C154" s="4">
        <v>0</v>
      </c>
      <c r="D154" s="4">
        <v>1</v>
      </c>
      <c r="E154" s="4">
        <v>233</v>
      </c>
      <c r="F154" s="4">
        <f>ROUND(Source!BD129,O154)</f>
        <v>0</v>
      </c>
      <c r="G154" s="4" t="s">
        <v>62</v>
      </c>
      <c r="H154" s="4" t="s">
        <v>63</v>
      </c>
      <c r="I154" s="4"/>
      <c r="J154" s="4"/>
      <c r="K154" s="4">
        <v>233</v>
      </c>
      <c r="L154" s="4">
        <v>24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88" x14ac:dyDescent="0.2">
      <c r="A155" s="4">
        <v>50</v>
      </c>
      <c r="B155" s="4">
        <v>0</v>
      </c>
      <c r="C155" s="4">
        <v>0</v>
      </c>
      <c r="D155" s="4">
        <v>1</v>
      </c>
      <c r="E155" s="4">
        <v>210</v>
      </c>
      <c r="F155" s="4">
        <f>ROUND(Source!X129,O155)</f>
        <v>12527.69</v>
      </c>
      <c r="G155" s="4" t="s">
        <v>64</v>
      </c>
      <c r="H155" s="4" t="s">
        <v>65</v>
      </c>
      <c r="I155" s="4"/>
      <c r="J155" s="4"/>
      <c r="K155" s="4">
        <v>210</v>
      </c>
      <c r="L155" s="4">
        <v>25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12527.69</v>
      </c>
      <c r="X155" s="4">
        <v>1</v>
      </c>
      <c r="Y155" s="4">
        <v>12527.69</v>
      </c>
      <c r="Z155" s="4"/>
      <c r="AA155" s="4"/>
      <c r="AB155" s="4"/>
    </row>
    <row r="156" spans="1:88" x14ac:dyDescent="0.2">
      <c r="A156" s="4">
        <v>50</v>
      </c>
      <c r="B156" s="4">
        <v>0</v>
      </c>
      <c r="C156" s="4">
        <v>0</v>
      </c>
      <c r="D156" s="4">
        <v>1</v>
      </c>
      <c r="E156" s="4">
        <v>211</v>
      </c>
      <c r="F156" s="4">
        <f>ROUND(Source!Y129,O156)</f>
        <v>6672.53</v>
      </c>
      <c r="G156" s="4" t="s">
        <v>66</v>
      </c>
      <c r="H156" s="4" t="s">
        <v>67</v>
      </c>
      <c r="I156" s="4"/>
      <c r="J156" s="4"/>
      <c r="K156" s="4">
        <v>211</v>
      </c>
      <c r="L156" s="4">
        <v>26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6672.53</v>
      </c>
      <c r="X156" s="4">
        <v>1</v>
      </c>
      <c r="Y156" s="4">
        <v>6672.53</v>
      </c>
      <c r="Z156" s="4"/>
      <c r="AA156" s="4"/>
      <c r="AB156" s="4"/>
    </row>
    <row r="157" spans="1:88" x14ac:dyDescent="0.2">
      <c r="A157" s="4">
        <v>50</v>
      </c>
      <c r="B157" s="4">
        <v>0</v>
      </c>
      <c r="C157" s="4">
        <v>0</v>
      </c>
      <c r="D157" s="4">
        <v>1</v>
      </c>
      <c r="E157" s="4">
        <v>224</v>
      </c>
      <c r="F157" s="4">
        <f>ROUND(Source!AR129,O157)</f>
        <v>36477.339999999997</v>
      </c>
      <c r="G157" s="4" t="s">
        <v>68</v>
      </c>
      <c r="H157" s="4" t="s">
        <v>69</v>
      </c>
      <c r="I157" s="4"/>
      <c r="J157" s="4"/>
      <c r="K157" s="4">
        <v>224</v>
      </c>
      <c r="L157" s="4">
        <v>27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36477.339999999997</v>
      </c>
      <c r="X157" s="4">
        <v>1</v>
      </c>
      <c r="Y157" s="4">
        <v>36477.339999999997</v>
      </c>
      <c r="Z157" s="4"/>
      <c r="AA157" s="4"/>
      <c r="AB157" s="4"/>
    </row>
    <row r="159" spans="1:88" x14ac:dyDescent="0.2">
      <c r="A159" s="1">
        <v>4</v>
      </c>
      <c r="B159" s="1">
        <v>1</v>
      </c>
      <c r="C159" s="1"/>
      <c r="D159" s="1">
        <f>ROW(A174)</f>
        <v>174</v>
      </c>
      <c r="E159" s="1"/>
      <c r="F159" s="1" t="s">
        <v>71</v>
      </c>
      <c r="G159" s="1" t="s">
        <v>224</v>
      </c>
      <c r="H159" s="1" t="s">
        <v>3</v>
      </c>
      <c r="I159" s="1">
        <v>0</v>
      </c>
      <c r="J159" s="1"/>
      <c r="K159" s="1">
        <v>0</v>
      </c>
      <c r="L159" s="1"/>
      <c r="M159" s="1" t="s">
        <v>3</v>
      </c>
      <c r="N159" s="1"/>
      <c r="O159" s="1"/>
      <c r="P159" s="1"/>
      <c r="Q159" s="1"/>
      <c r="R159" s="1"/>
      <c r="S159" s="1">
        <v>0</v>
      </c>
      <c r="T159" s="1"/>
      <c r="U159" s="1" t="s">
        <v>3</v>
      </c>
      <c r="V159" s="1">
        <v>0</v>
      </c>
      <c r="W159" s="1"/>
      <c r="X159" s="1"/>
      <c r="Y159" s="1"/>
      <c r="Z159" s="1"/>
      <c r="AA159" s="1"/>
      <c r="AB159" s="1" t="s">
        <v>3</v>
      </c>
      <c r="AC159" s="1" t="s">
        <v>3</v>
      </c>
      <c r="AD159" s="1" t="s">
        <v>3</v>
      </c>
      <c r="AE159" s="1" t="s">
        <v>3</v>
      </c>
      <c r="AF159" s="1" t="s">
        <v>3</v>
      </c>
      <c r="AG159" s="1" t="s">
        <v>3</v>
      </c>
      <c r="AH159" s="1"/>
      <c r="AI159" s="1"/>
      <c r="AJ159" s="1"/>
      <c r="AK159" s="1"/>
      <c r="AL159" s="1"/>
      <c r="AM159" s="1"/>
      <c r="AN159" s="1"/>
      <c r="AO159" s="1"/>
      <c r="AP159" s="1" t="s">
        <v>3</v>
      </c>
      <c r="AQ159" s="1" t="s">
        <v>3</v>
      </c>
      <c r="AR159" s="1" t="s">
        <v>3</v>
      </c>
      <c r="AS159" s="1"/>
      <c r="AT159" s="1"/>
      <c r="AU159" s="1"/>
      <c r="AV159" s="1"/>
      <c r="AW159" s="1"/>
      <c r="AX159" s="1"/>
      <c r="AY159" s="1"/>
      <c r="AZ159" s="1" t="s">
        <v>3</v>
      </c>
      <c r="BA159" s="1"/>
      <c r="BB159" s="1" t="s">
        <v>3</v>
      </c>
      <c r="BC159" s="1" t="s">
        <v>3</v>
      </c>
      <c r="BD159" s="1" t="s">
        <v>3</v>
      </c>
      <c r="BE159" s="1" t="s">
        <v>3</v>
      </c>
      <c r="BF159" s="1" t="s">
        <v>3</v>
      </c>
      <c r="BG159" s="1" t="s">
        <v>3</v>
      </c>
      <c r="BH159" s="1" t="s">
        <v>3</v>
      </c>
      <c r="BI159" s="1" t="s">
        <v>3</v>
      </c>
      <c r="BJ159" s="1" t="s">
        <v>3</v>
      </c>
      <c r="BK159" s="1" t="s">
        <v>3</v>
      </c>
      <c r="BL159" s="1" t="s">
        <v>3</v>
      </c>
      <c r="BM159" s="1" t="s">
        <v>3</v>
      </c>
      <c r="BN159" s="1" t="s">
        <v>3</v>
      </c>
      <c r="BO159" s="1" t="s">
        <v>3</v>
      </c>
      <c r="BP159" s="1" t="s">
        <v>3</v>
      </c>
      <c r="BQ159" s="1"/>
      <c r="BR159" s="1"/>
      <c r="BS159" s="1"/>
      <c r="BT159" s="1"/>
      <c r="BU159" s="1"/>
      <c r="BV159" s="1"/>
      <c r="BW159" s="1"/>
      <c r="BX159" s="1">
        <v>0</v>
      </c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>
        <v>0</v>
      </c>
    </row>
    <row r="161" spans="1:245" x14ac:dyDescent="0.2">
      <c r="A161" s="2">
        <v>52</v>
      </c>
      <c r="B161" s="2">
        <f t="shared" ref="B161:G161" si="85">B174</f>
        <v>1</v>
      </c>
      <c r="C161" s="2">
        <f t="shared" si="85"/>
        <v>4</v>
      </c>
      <c r="D161" s="2">
        <f t="shared" si="85"/>
        <v>159</v>
      </c>
      <c r="E161" s="2">
        <f t="shared" si="85"/>
        <v>0</v>
      </c>
      <c r="F161" s="2" t="str">
        <f t="shared" si="85"/>
        <v>Новый раздел</v>
      </c>
      <c r="G161" s="2" t="str">
        <f t="shared" si="85"/>
        <v>Монтажные работы</v>
      </c>
      <c r="H161" s="2"/>
      <c r="I161" s="2"/>
      <c r="J161" s="2"/>
      <c r="K161" s="2"/>
      <c r="L161" s="2"/>
      <c r="M161" s="2"/>
      <c r="N161" s="2"/>
      <c r="O161" s="2">
        <f t="shared" ref="O161:AT161" si="86">O174</f>
        <v>95592.6</v>
      </c>
      <c r="P161" s="2">
        <f t="shared" si="86"/>
        <v>15589.75</v>
      </c>
      <c r="Q161" s="2">
        <f t="shared" si="86"/>
        <v>19449.689999999999</v>
      </c>
      <c r="R161" s="2">
        <f t="shared" si="86"/>
        <v>9167.2099999999991</v>
      </c>
      <c r="S161" s="2">
        <f t="shared" si="86"/>
        <v>51385.95</v>
      </c>
      <c r="T161" s="2">
        <f t="shared" si="86"/>
        <v>0</v>
      </c>
      <c r="U161" s="2">
        <f t="shared" si="86"/>
        <v>104.33479999999997</v>
      </c>
      <c r="V161" s="2">
        <f t="shared" si="86"/>
        <v>14.934800000000001</v>
      </c>
      <c r="W161" s="2">
        <f t="shared" si="86"/>
        <v>0</v>
      </c>
      <c r="X161" s="2">
        <f t="shared" si="86"/>
        <v>59030.07</v>
      </c>
      <c r="Y161" s="2">
        <f t="shared" si="86"/>
        <v>31322.39</v>
      </c>
      <c r="Z161" s="2">
        <f t="shared" si="86"/>
        <v>0</v>
      </c>
      <c r="AA161" s="2">
        <f t="shared" si="86"/>
        <v>0</v>
      </c>
      <c r="AB161" s="2">
        <f t="shared" si="86"/>
        <v>95592.6</v>
      </c>
      <c r="AC161" s="2">
        <f t="shared" si="86"/>
        <v>15589.75</v>
      </c>
      <c r="AD161" s="2">
        <f t="shared" si="86"/>
        <v>19449.689999999999</v>
      </c>
      <c r="AE161" s="2">
        <f t="shared" si="86"/>
        <v>9167.2099999999991</v>
      </c>
      <c r="AF161" s="2">
        <f t="shared" si="86"/>
        <v>51385.95</v>
      </c>
      <c r="AG161" s="2">
        <f t="shared" si="86"/>
        <v>0</v>
      </c>
      <c r="AH161" s="2">
        <f t="shared" si="86"/>
        <v>104.33479999999997</v>
      </c>
      <c r="AI161" s="2">
        <f t="shared" si="86"/>
        <v>14.934800000000001</v>
      </c>
      <c r="AJ161" s="2">
        <f t="shared" si="86"/>
        <v>0</v>
      </c>
      <c r="AK161" s="2">
        <f t="shared" si="86"/>
        <v>59030.07</v>
      </c>
      <c r="AL161" s="2">
        <f t="shared" si="86"/>
        <v>31322.39</v>
      </c>
      <c r="AM161" s="2">
        <f t="shared" si="86"/>
        <v>0</v>
      </c>
      <c r="AN161" s="2">
        <f t="shared" si="86"/>
        <v>0</v>
      </c>
      <c r="AO161" s="2">
        <f t="shared" si="86"/>
        <v>0</v>
      </c>
      <c r="AP161" s="2">
        <f t="shared" si="86"/>
        <v>0</v>
      </c>
      <c r="AQ161" s="2">
        <f t="shared" si="86"/>
        <v>0</v>
      </c>
      <c r="AR161" s="2">
        <f t="shared" si="86"/>
        <v>185945.06</v>
      </c>
      <c r="AS161" s="2">
        <f t="shared" si="86"/>
        <v>14183.86</v>
      </c>
      <c r="AT161" s="2">
        <f t="shared" si="86"/>
        <v>171761.2</v>
      </c>
      <c r="AU161" s="2">
        <f t="shared" ref="AU161:BZ161" si="87">AU174</f>
        <v>0</v>
      </c>
      <c r="AV161" s="2">
        <f t="shared" si="87"/>
        <v>15589.75</v>
      </c>
      <c r="AW161" s="2">
        <f t="shared" si="87"/>
        <v>15589.75</v>
      </c>
      <c r="AX161" s="2">
        <f t="shared" si="87"/>
        <v>0</v>
      </c>
      <c r="AY161" s="2">
        <f t="shared" si="87"/>
        <v>15589.75</v>
      </c>
      <c r="AZ161" s="2">
        <f t="shared" si="87"/>
        <v>0</v>
      </c>
      <c r="BA161" s="2">
        <f t="shared" si="87"/>
        <v>0</v>
      </c>
      <c r="BB161" s="2">
        <f t="shared" si="87"/>
        <v>0</v>
      </c>
      <c r="BC161" s="2">
        <f t="shared" si="87"/>
        <v>0</v>
      </c>
      <c r="BD161" s="2">
        <f t="shared" si="87"/>
        <v>0</v>
      </c>
      <c r="BE161" s="2">
        <f t="shared" si="87"/>
        <v>0</v>
      </c>
      <c r="BF161" s="2">
        <f t="shared" si="87"/>
        <v>0</v>
      </c>
      <c r="BG161" s="2">
        <f t="shared" si="87"/>
        <v>0</v>
      </c>
      <c r="BH161" s="2">
        <f t="shared" si="87"/>
        <v>0</v>
      </c>
      <c r="BI161" s="2">
        <f t="shared" si="87"/>
        <v>0</v>
      </c>
      <c r="BJ161" s="2">
        <f t="shared" si="87"/>
        <v>0</v>
      </c>
      <c r="BK161" s="2">
        <f t="shared" si="87"/>
        <v>0</v>
      </c>
      <c r="BL161" s="2">
        <f t="shared" si="87"/>
        <v>0</v>
      </c>
      <c r="BM161" s="2">
        <f t="shared" si="87"/>
        <v>0</v>
      </c>
      <c r="BN161" s="2">
        <f t="shared" si="87"/>
        <v>0</v>
      </c>
      <c r="BO161" s="2">
        <f t="shared" si="87"/>
        <v>0</v>
      </c>
      <c r="BP161" s="2">
        <f t="shared" si="87"/>
        <v>0</v>
      </c>
      <c r="BQ161" s="2">
        <f t="shared" si="87"/>
        <v>0</v>
      </c>
      <c r="BR161" s="2">
        <f t="shared" si="87"/>
        <v>0</v>
      </c>
      <c r="BS161" s="2">
        <f t="shared" si="87"/>
        <v>0</v>
      </c>
      <c r="BT161" s="2">
        <f t="shared" si="87"/>
        <v>0</v>
      </c>
      <c r="BU161" s="2">
        <f t="shared" si="87"/>
        <v>0</v>
      </c>
      <c r="BV161" s="2">
        <f t="shared" si="87"/>
        <v>0</v>
      </c>
      <c r="BW161" s="2">
        <f t="shared" si="87"/>
        <v>0</v>
      </c>
      <c r="BX161" s="2">
        <f t="shared" si="87"/>
        <v>0</v>
      </c>
      <c r="BY161" s="2">
        <f t="shared" si="87"/>
        <v>0</v>
      </c>
      <c r="BZ161" s="2">
        <f t="shared" si="87"/>
        <v>0</v>
      </c>
      <c r="CA161" s="2">
        <f t="shared" ref="CA161:DF161" si="88">CA174</f>
        <v>185945.06</v>
      </c>
      <c r="CB161" s="2">
        <f t="shared" si="88"/>
        <v>14183.86</v>
      </c>
      <c r="CC161" s="2">
        <f t="shared" si="88"/>
        <v>171761.2</v>
      </c>
      <c r="CD161" s="2">
        <f t="shared" si="88"/>
        <v>0</v>
      </c>
      <c r="CE161" s="2">
        <f t="shared" si="88"/>
        <v>15589.75</v>
      </c>
      <c r="CF161" s="2">
        <f t="shared" si="88"/>
        <v>15589.75</v>
      </c>
      <c r="CG161" s="2">
        <f t="shared" si="88"/>
        <v>0</v>
      </c>
      <c r="CH161" s="2">
        <f t="shared" si="88"/>
        <v>15589.75</v>
      </c>
      <c r="CI161" s="2">
        <f t="shared" si="88"/>
        <v>0</v>
      </c>
      <c r="CJ161" s="2">
        <f t="shared" si="88"/>
        <v>0</v>
      </c>
      <c r="CK161" s="2">
        <f t="shared" si="88"/>
        <v>0</v>
      </c>
      <c r="CL161" s="2">
        <f t="shared" si="88"/>
        <v>0</v>
      </c>
      <c r="CM161" s="2">
        <f t="shared" si="88"/>
        <v>0</v>
      </c>
      <c r="CN161" s="2">
        <f t="shared" si="88"/>
        <v>0</v>
      </c>
      <c r="CO161" s="2">
        <f t="shared" si="88"/>
        <v>0</v>
      </c>
      <c r="CP161" s="2">
        <f t="shared" si="88"/>
        <v>0</v>
      </c>
      <c r="CQ161" s="2">
        <f t="shared" si="88"/>
        <v>0</v>
      </c>
      <c r="CR161" s="2">
        <f t="shared" si="88"/>
        <v>0</v>
      </c>
      <c r="CS161" s="2">
        <f t="shared" si="88"/>
        <v>0</v>
      </c>
      <c r="CT161" s="2">
        <f t="shared" si="88"/>
        <v>0</v>
      </c>
      <c r="CU161" s="2">
        <f t="shared" si="88"/>
        <v>0</v>
      </c>
      <c r="CV161" s="2">
        <f t="shared" si="88"/>
        <v>0</v>
      </c>
      <c r="CW161" s="2">
        <f t="shared" si="88"/>
        <v>0</v>
      </c>
      <c r="CX161" s="2">
        <f t="shared" si="88"/>
        <v>0</v>
      </c>
      <c r="CY161" s="2">
        <f t="shared" si="88"/>
        <v>0</v>
      </c>
      <c r="CZ161" s="2">
        <f t="shared" si="88"/>
        <v>0</v>
      </c>
      <c r="DA161" s="2">
        <f t="shared" si="88"/>
        <v>0</v>
      </c>
      <c r="DB161" s="2">
        <f t="shared" si="88"/>
        <v>0</v>
      </c>
      <c r="DC161" s="2">
        <f t="shared" si="88"/>
        <v>0</v>
      </c>
      <c r="DD161" s="2">
        <f t="shared" si="88"/>
        <v>0</v>
      </c>
      <c r="DE161" s="2">
        <f t="shared" si="88"/>
        <v>0</v>
      </c>
      <c r="DF161" s="2">
        <f t="shared" si="88"/>
        <v>0</v>
      </c>
      <c r="DG161" s="3">
        <f t="shared" ref="DG161:EL161" si="89">DG174</f>
        <v>0</v>
      </c>
      <c r="DH161" s="3">
        <f t="shared" si="89"/>
        <v>0</v>
      </c>
      <c r="DI161" s="3">
        <f t="shared" si="89"/>
        <v>0</v>
      </c>
      <c r="DJ161" s="3">
        <f t="shared" si="89"/>
        <v>0</v>
      </c>
      <c r="DK161" s="3">
        <f t="shared" si="89"/>
        <v>0</v>
      </c>
      <c r="DL161" s="3">
        <f t="shared" si="89"/>
        <v>0</v>
      </c>
      <c r="DM161" s="3">
        <f t="shared" si="89"/>
        <v>0</v>
      </c>
      <c r="DN161" s="3">
        <f t="shared" si="89"/>
        <v>0</v>
      </c>
      <c r="DO161" s="3">
        <f t="shared" si="89"/>
        <v>0</v>
      </c>
      <c r="DP161" s="3">
        <f t="shared" si="89"/>
        <v>0</v>
      </c>
      <c r="DQ161" s="3">
        <f t="shared" si="89"/>
        <v>0</v>
      </c>
      <c r="DR161" s="3">
        <f t="shared" si="89"/>
        <v>0</v>
      </c>
      <c r="DS161" s="3">
        <f t="shared" si="89"/>
        <v>0</v>
      </c>
      <c r="DT161" s="3">
        <f t="shared" si="89"/>
        <v>0</v>
      </c>
      <c r="DU161" s="3">
        <f t="shared" si="89"/>
        <v>0</v>
      </c>
      <c r="DV161" s="3">
        <f t="shared" si="89"/>
        <v>0</v>
      </c>
      <c r="DW161" s="3">
        <f t="shared" si="89"/>
        <v>0</v>
      </c>
      <c r="DX161" s="3">
        <f t="shared" si="89"/>
        <v>0</v>
      </c>
      <c r="DY161" s="3">
        <f t="shared" si="89"/>
        <v>0</v>
      </c>
      <c r="DZ161" s="3">
        <f t="shared" si="89"/>
        <v>0</v>
      </c>
      <c r="EA161" s="3">
        <f t="shared" si="89"/>
        <v>0</v>
      </c>
      <c r="EB161" s="3">
        <f t="shared" si="89"/>
        <v>0</v>
      </c>
      <c r="EC161" s="3">
        <f t="shared" si="89"/>
        <v>0</v>
      </c>
      <c r="ED161" s="3">
        <f t="shared" si="89"/>
        <v>0</v>
      </c>
      <c r="EE161" s="3">
        <f t="shared" si="89"/>
        <v>0</v>
      </c>
      <c r="EF161" s="3">
        <f t="shared" si="89"/>
        <v>0</v>
      </c>
      <c r="EG161" s="3">
        <f t="shared" si="89"/>
        <v>0</v>
      </c>
      <c r="EH161" s="3">
        <f t="shared" si="89"/>
        <v>0</v>
      </c>
      <c r="EI161" s="3">
        <f t="shared" si="89"/>
        <v>0</v>
      </c>
      <c r="EJ161" s="3">
        <f t="shared" si="89"/>
        <v>0</v>
      </c>
      <c r="EK161" s="3">
        <f t="shared" si="89"/>
        <v>0</v>
      </c>
      <c r="EL161" s="3">
        <f t="shared" si="89"/>
        <v>0</v>
      </c>
      <c r="EM161" s="3">
        <f t="shared" ref="EM161:FR161" si="90">EM174</f>
        <v>0</v>
      </c>
      <c r="EN161" s="3">
        <f t="shared" si="90"/>
        <v>0</v>
      </c>
      <c r="EO161" s="3">
        <f t="shared" si="90"/>
        <v>0</v>
      </c>
      <c r="EP161" s="3">
        <f t="shared" si="90"/>
        <v>0</v>
      </c>
      <c r="EQ161" s="3">
        <f t="shared" si="90"/>
        <v>0</v>
      </c>
      <c r="ER161" s="3">
        <f t="shared" si="90"/>
        <v>0</v>
      </c>
      <c r="ES161" s="3">
        <f t="shared" si="90"/>
        <v>0</v>
      </c>
      <c r="ET161" s="3">
        <f t="shared" si="90"/>
        <v>0</v>
      </c>
      <c r="EU161" s="3">
        <f t="shared" si="90"/>
        <v>0</v>
      </c>
      <c r="EV161" s="3">
        <f t="shared" si="90"/>
        <v>0</v>
      </c>
      <c r="EW161" s="3">
        <f t="shared" si="90"/>
        <v>0</v>
      </c>
      <c r="EX161" s="3">
        <f t="shared" si="90"/>
        <v>0</v>
      </c>
      <c r="EY161" s="3">
        <f t="shared" si="90"/>
        <v>0</v>
      </c>
      <c r="EZ161" s="3">
        <f t="shared" si="90"/>
        <v>0</v>
      </c>
      <c r="FA161" s="3">
        <f t="shared" si="90"/>
        <v>0</v>
      </c>
      <c r="FB161" s="3">
        <f t="shared" si="90"/>
        <v>0</v>
      </c>
      <c r="FC161" s="3">
        <f t="shared" si="90"/>
        <v>0</v>
      </c>
      <c r="FD161" s="3">
        <f t="shared" si="90"/>
        <v>0</v>
      </c>
      <c r="FE161" s="3">
        <f t="shared" si="90"/>
        <v>0</v>
      </c>
      <c r="FF161" s="3">
        <f t="shared" si="90"/>
        <v>0</v>
      </c>
      <c r="FG161" s="3">
        <f t="shared" si="90"/>
        <v>0</v>
      </c>
      <c r="FH161" s="3">
        <f t="shared" si="90"/>
        <v>0</v>
      </c>
      <c r="FI161" s="3">
        <f t="shared" si="90"/>
        <v>0</v>
      </c>
      <c r="FJ161" s="3">
        <f t="shared" si="90"/>
        <v>0</v>
      </c>
      <c r="FK161" s="3">
        <f t="shared" si="90"/>
        <v>0</v>
      </c>
      <c r="FL161" s="3">
        <f t="shared" si="90"/>
        <v>0</v>
      </c>
      <c r="FM161" s="3">
        <f t="shared" si="90"/>
        <v>0</v>
      </c>
      <c r="FN161" s="3">
        <f t="shared" si="90"/>
        <v>0</v>
      </c>
      <c r="FO161" s="3">
        <f t="shared" si="90"/>
        <v>0</v>
      </c>
      <c r="FP161" s="3">
        <f t="shared" si="90"/>
        <v>0</v>
      </c>
      <c r="FQ161" s="3">
        <f t="shared" si="90"/>
        <v>0</v>
      </c>
      <c r="FR161" s="3">
        <f t="shared" si="90"/>
        <v>0</v>
      </c>
      <c r="FS161" s="3">
        <f t="shared" ref="FS161:GX161" si="91">FS174</f>
        <v>0</v>
      </c>
      <c r="FT161" s="3">
        <f t="shared" si="91"/>
        <v>0</v>
      </c>
      <c r="FU161" s="3">
        <f t="shared" si="91"/>
        <v>0</v>
      </c>
      <c r="FV161" s="3">
        <f t="shared" si="91"/>
        <v>0</v>
      </c>
      <c r="FW161" s="3">
        <f t="shared" si="91"/>
        <v>0</v>
      </c>
      <c r="FX161" s="3">
        <f t="shared" si="91"/>
        <v>0</v>
      </c>
      <c r="FY161" s="3">
        <f t="shared" si="91"/>
        <v>0</v>
      </c>
      <c r="FZ161" s="3">
        <f t="shared" si="91"/>
        <v>0</v>
      </c>
      <c r="GA161" s="3">
        <f t="shared" si="91"/>
        <v>0</v>
      </c>
      <c r="GB161" s="3">
        <f t="shared" si="91"/>
        <v>0</v>
      </c>
      <c r="GC161" s="3">
        <f t="shared" si="91"/>
        <v>0</v>
      </c>
      <c r="GD161" s="3">
        <f t="shared" si="91"/>
        <v>0</v>
      </c>
      <c r="GE161" s="3">
        <f t="shared" si="91"/>
        <v>0</v>
      </c>
      <c r="GF161" s="3">
        <f t="shared" si="91"/>
        <v>0</v>
      </c>
      <c r="GG161" s="3">
        <f t="shared" si="91"/>
        <v>0</v>
      </c>
      <c r="GH161" s="3">
        <f t="shared" si="91"/>
        <v>0</v>
      </c>
      <c r="GI161" s="3">
        <f t="shared" si="91"/>
        <v>0</v>
      </c>
      <c r="GJ161" s="3">
        <f t="shared" si="91"/>
        <v>0</v>
      </c>
      <c r="GK161" s="3">
        <f t="shared" si="91"/>
        <v>0</v>
      </c>
      <c r="GL161" s="3">
        <f t="shared" si="91"/>
        <v>0</v>
      </c>
      <c r="GM161" s="3">
        <f t="shared" si="91"/>
        <v>0</v>
      </c>
      <c r="GN161" s="3">
        <f t="shared" si="91"/>
        <v>0</v>
      </c>
      <c r="GO161" s="3">
        <f t="shared" si="91"/>
        <v>0</v>
      </c>
      <c r="GP161" s="3">
        <f t="shared" si="91"/>
        <v>0</v>
      </c>
      <c r="GQ161" s="3">
        <f t="shared" si="91"/>
        <v>0</v>
      </c>
      <c r="GR161" s="3">
        <f t="shared" si="91"/>
        <v>0</v>
      </c>
      <c r="GS161" s="3">
        <f t="shared" si="91"/>
        <v>0</v>
      </c>
      <c r="GT161" s="3">
        <f t="shared" si="91"/>
        <v>0</v>
      </c>
      <c r="GU161" s="3">
        <f t="shared" si="91"/>
        <v>0</v>
      </c>
      <c r="GV161" s="3">
        <f t="shared" si="91"/>
        <v>0</v>
      </c>
      <c r="GW161" s="3">
        <f t="shared" si="91"/>
        <v>0</v>
      </c>
      <c r="GX161" s="3">
        <f t="shared" si="91"/>
        <v>0</v>
      </c>
    </row>
    <row r="163" spans="1:245" x14ac:dyDescent="0.2">
      <c r="A163">
        <v>17</v>
      </c>
      <c r="B163">
        <v>1</v>
      </c>
      <c r="C163">
        <f>ROW(SmtRes!A206)</f>
        <v>206</v>
      </c>
      <c r="D163">
        <f>ROW(EtalonRes!A207)</f>
        <v>207</v>
      </c>
      <c r="E163" t="s">
        <v>262</v>
      </c>
      <c r="F163" t="s">
        <v>263</v>
      </c>
      <c r="G163" t="s">
        <v>264</v>
      </c>
      <c r="H163" t="s">
        <v>220</v>
      </c>
      <c r="I163">
        <v>1</v>
      </c>
      <c r="J163">
        <v>0</v>
      </c>
      <c r="K163">
        <v>1</v>
      </c>
      <c r="O163">
        <f t="shared" ref="O163:O172" si="92">ROUND(CP163,2)</f>
        <v>42198.61</v>
      </c>
      <c r="P163">
        <f>SUMIF(SmtRes!AQ198:'SmtRes'!AQ206,"=1",SmtRes!DF198:'SmtRes'!DF206)</f>
        <v>1284.3400000000001</v>
      </c>
      <c r="Q163">
        <f>SUMIF(SmtRes!AQ198:'SmtRes'!AQ206,"=1",SmtRes!DG198:'SmtRes'!DG206)</f>
        <v>15265.08</v>
      </c>
      <c r="R163">
        <f>SUMIF(SmtRes!AQ198:'SmtRes'!AQ206,"=1",SmtRes!DH198:'SmtRes'!DH206)</f>
        <v>6959.23</v>
      </c>
      <c r="S163">
        <f>SUMIF(SmtRes!AQ198:'SmtRes'!AQ206,"=1",SmtRes!DI198:'SmtRes'!DI206)</f>
        <v>18689.96</v>
      </c>
      <c r="T163">
        <f t="shared" ref="T163:T172" si="93">ROUND(CU163*I163,2)</f>
        <v>0</v>
      </c>
      <c r="U163">
        <f>SUMIF(SmtRes!AQ198:'SmtRes'!AQ206,"=1",SmtRes!CV198:'SmtRes'!CV206)</f>
        <v>38.1</v>
      </c>
      <c r="V163">
        <f>SUMIF(SmtRes!AQ198:'SmtRes'!AQ206,"=1",SmtRes!CW198:'SmtRes'!CW206)</f>
        <v>11.08</v>
      </c>
      <c r="W163">
        <f t="shared" ref="W163:W172" si="94">ROUND(CX163*I163,2)</f>
        <v>0</v>
      </c>
      <c r="X163">
        <f t="shared" ref="X163:X172" si="95">ROUND(CY163,2)</f>
        <v>24879.71</v>
      </c>
      <c r="Y163">
        <f t="shared" ref="Y163:Y172" si="96">ROUND(CZ163,2)</f>
        <v>13081.09</v>
      </c>
      <c r="AA163">
        <v>65170852</v>
      </c>
      <c r="AB163">
        <f t="shared" ref="AB163:AB172" si="97">ROUND((AC163+AD163+AF163),6)</f>
        <v>34980.582713000003</v>
      </c>
      <c r="AC163">
        <f>ROUND((SUM(SmtRes!BQ198:'SmtRes'!BQ206)),6)</f>
        <v>1229.277413</v>
      </c>
      <c r="AD163">
        <f>ROUND((((SUM(SmtRes!BR198:'SmtRes'!BR206))-(SUM(SmtRes!BS198:'SmtRes'!BS206)))+AE163),6)</f>
        <v>15061.3503</v>
      </c>
      <c r="AE163">
        <f>ROUND((SUM(SmtRes!BS198:'SmtRes'!BS206)),6)</f>
        <v>6959.2235000000001</v>
      </c>
      <c r="AF163">
        <f>ROUND((SUM(SmtRes!BT198:'SmtRes'!BT206)),6)</f>
        <v>18689.955000000002</v>
      </c>
      <c r="AG163">
        <f t="shared" ref="AG163:AG172" si="98">ROUND((AP163),6)</f>
        <v>0</v>
      </c>
      <c r="AH163">
        <f>(SUM(SmtRes!BU198:'SmtRes'!BU206))</f>
        <v>38.1</v>
      </c>
      <c r="AI163">
        <f>(SUM(SmtRes!BV198:'SmtRes'!BV206))</f>
        <v>11.08</v>
      </c>
      <c r="AJ163">
        <f t="shared" ref="AJ163:AJ172" si="99">(AS163)</f>
        <v>0</v>
      </c>
      <c r="AK163">
        <v>41939.806212600008</v>
      </c>
      <c r="AL163">
        <v>1229.2774126000002</v>
      </c>
      <c r="AM163">
        <v>15061.350300000002</v>
      </c>
      <c r="AN163">
        <v>6959.223500000001</v>
      </c>
      <c r="AO163">
        <v>18689.955000000002</v>
      </c>
      <c r="AP163">
        <v>0</v>
      </c>
      <c r="AQ163">
        <v>38.1</v>
      </c>
      <c r="AR163">
        <v>11.08</v>
      </c>
      <c r="AS163">
        <v>0</v>
      </c>
      <c r="AT163">
        <v>97</v>
      </c>
      <c r="AU163">
        <v>51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2</v>
      </c>
      <c r="BJ163" t="s">
        <v>265</v>
      </c>
      <c r="BM163">
        <v>108001</v>
      </c>
      <c r="BN163">
        <v>0</v>
      </c>
      <c r="BO163" t="s">
        <v>3</v>
      </c>
      <c r="BP163">
        <v>0</v>
      </c>
      <c r="BQ163">
        <v>3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97</v>
      </c>
      <c r="CA163">
        <v>51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ref="CP163:CP172" si="100">(P163+Q163+S163+R163)</f>
        <v>42198.61</v>
      </c>
      <c r="CQ163">
        <f>SUMIF(SmtRes!AQ198:'SmtRes'!AQ206,"=1",SmtRes!AA198:'SmtRes'!AA206)</f>
        <v>863347.07000000007</v>
      </c>
      <c r="CR163">
        <f>SUMIF(SmtRes!AQ198:'SmtRes'!AQ206,"=1",SmtRes!AB198:'SmtRes'!AB206)</f>
        <v>2155.7900000000004</v>
      </c>
      <c r="CS163">
        <f>SUMIF(SmtRes!AQ198:'SmtRes'!AQ206,"=1",SmtRes!AC198:'SmtRes'!AC206)</f>
        <v>1149.49</v>
      </c>
      <c r="CT163">
        <f>SUMIF(SmtRes!AQ198:'SmtRes'!AQ206,"=1",SmtRes!AD198:'SmtRes'!AD206)</f>
        <v>490.55</v>
      </c>
      <c r="CU163">
        <f t="shared" ref="CU163:CU172" si="101">AG163</f>
        <v>0</v>
      </c>
      <c r="CV163">
        <f>SUMIF(SmtRes!AQ198:'SmtRes'!AQ206,"=1",SmtRes!BU198:'SmtRes'!BU206)</f>
        <v>38.1</v>
      </c>
      <c r="CW163">
        <f>SUMIF(SmtRes!AQ198:'SmtRes'!AQ206,"=1",SmtRes!BV198:'SmtRes'!BV206)</f>
        <v>11.08</v>
      </c>
      <c r="CX163">
        <f t="shared" ref="CX163:CX172" si="102">AJ163</f>
        <v>0</v>
      </c>
      <c r="CY163">
        <f t="shared" ref="CY163:CY172" si="103">(((S163+R163)*AT163)/100)</f>
        <v>24879.714299999996</v>
      </c>
      <c r="CZ163">
        <f t="shared" ref="CZ163:CZ172" si="104">(((S163+R163)*AU163)/100)</f>
        <v>13081.0869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1013</v>
      </c>
      <c r="DV163" t="s">
        <v>220</v>
      </c>
      <c r="DW163" t="s">
        <v>220</v>
      </c>
      <c r="DX163">
        <v>1</v>
      </c>
      <c r="DZ163" t="s">
        <v>3</v>
      </c>
      <c r="EA163" t="s">
        <v>3</v>
      </c>
      <c r="EB163" t="s">
        <v>3</v>
      </c>
      <c r="EC163" t="s">
        <v>3</v>
      </c>
      <c r="EE163">
        <v>64850885</v>
      </c>
      <c r="EF163">
        <v>3</v>
      </c>
      <c r="EG163" t="s">
        <v>224</v>
      </c>
      <c r="EH163">
        <v>0</v>
      </c>
      <c r="EI163" t="s">
        <v>3</v>
      </c>
      <c r="EJ163">
        <v>2</v>
      </c>
      <c r="EK163">
        <v>108001</v>
      </c>
      <c r="EL163" t="s">
        <v>225</v>
      </c>
      <c r="EM163" t="s">
        <v>226</v>
      </c>
      <c r="EO163" t="s">
        <v>3</v>
      </c>
      <c r="EQ163">
        <v>0</v>
      </c>
      <c r="ER163">
        <v>0</v>
      </c>
      <c r="ES163">
        <v>0</v>
      </c>
      <c r="ET163">
        <v>0</v>
      </c>
      <c r="EU163">
        <v>0</v>
      </c>
      <c r="EV163">
        <v>0</v>
      </c>
      <c r="EW163">
        <v>38.1</v>
      </c>
      <c r="EX163">
        <v>11.08</v>
      </c>
      <c r="EY163">
        <v>0</v>
      </c>
      <c r="FQ163">
        <v>0</v>
      </c>
      <c r="FR163">
        <f t="shared" ref="FR163:FR172" si="105">ROUND(IF(BI163=3,GM163,0),2)</f>
        <v>0</v>
      </c>
      <c r="FS163">
        <v>0</v>
      </c>
      <c r="FX163">
        <v>97</v>
      </c>
      <c r="FY163">
        <v>51</v>
      </c>
      <c r="GA163" t="s">
        <v>3</v>
      </c>
      <c r="GD163">
        <v>1</v>
      </c>
      <c r="GF163">
        <v>-496023536</v>
      </c>
      <c r="GG163">
        <v>2</v>
      </c>
      <c r="GH163">
        <v>1</v>
      </c>
      <c r="GI163">
        <v>-2</v>
      </c>
      <c r="GJ163">
        <v>0</v>
      </c>
      <c r="GK163">
        <v>0</v>
      </c>
      <c r="GL163">
        <f t="shared" ref="GL163:GL172" si="106">ROUND(IF(AND(BH163=3,BI163=3,FS163&lt;&gt;0),P163,0),2)</f>
        <v>0</v>
      </c>
      <c r="GM163">
        <f t="shared" ref="GM163:GM172" si="107">ROUND(O163+X163+Y163,2)+GX163</f>
        <v>80159.41</v>
      </c>
      <c r="GN163">
        <f t="shared" ref="GN163:GN172" si="108">IF(OR(BI163=0,BI163=1),GM163-GX163,0)</f>
        <v>0</v>
      </c>
      <c r="GO163">
        <f t="shared" ref="GO163:GO172" si="109">IF(BI163=2,GM163-GX163,0)</f>
        <v>80159.41</v>
      </c>
      <c r="GP163">
        <f t="shared" ref="GP163:GP172" si="110">IF(BI163=4,GM163-GX163,0)</f>
        <v>0</v>
      </c>
      <c r="GR163">
        <v>0</v>
      </c>
      <c r="GS163">
        <v>0</v>
      </c>
      <c r="GT163">
        <v>0</v>
      </c>
      <c r="GU163" t="s">
        <v>3</v>
      </c>
      <c r="GV163">
        <f t="shared" ref="GV163:GV172" si="111">ROUND((GT163),6)</f>
        <v>0</v>
      </c>
      <c r="GW163">
        <v>1</v>
      </c>
      <c r="GX163">
        <f t="shared" ref="GX163:GX172" si="112">ROUND(HC163*I163,2)</f>
        <v>0</v>
      </c>
      <c r="HA163">
        <v>0</v>
      </c>
      <c r="HB163">
        <v>0</v>
      </c>
      <c r="HC163">
        <f t="shared" ref="HC163:HC172" si="113">GV163*GW163</f>
        <v>0</v>
      </c>
      <c r="HE163" t="s">
        <v>3</v>
      </c>
      <c r="HF163" t="s">
        <v>3</v>
      </c>
      <c r="HM163" t="s">
        <v>3</v>
      </c>
      <c r="HN163" t="s">
        <v>228</v>
      </c>
      <c r="HO163" t="s">
        <v>229</v>
      </c>
      <c r="HP163" t="s">
        <v>225</v>
      </c>
      <c r="HQ163" t="s">
        <v>225</v>
      </c>
      <c r="IK163">
        <v>0</v>
      </c>
    </row>
    <row r="164" spans="1:245" x14ac:dyDescent="0.2">
      <c r="A164">
        <v>17</v>
      </c>
      <c r="B164">
        <v>1</v>
      </c>
      <c r="C164">
        <f>ROW(SmtRes!A212)</f>
        <v>212</v>
      </c>
      <c r="D164">
        <f>ROW(EtalonRes!A214)</f>
        <v>214</v>
      </c>
      <c r="E164" t="s">
        <v>266</v>
      </c>
      <c r="F164" t="s">
        <v>231</v>
      </c>
      <c r="G164" t="s">
        <v>267</v>
      </c>
      <c r="H164" t="s">
        <v>220</v>
      </c>
      <c r="I164">
        <v>1</v>
      </c>
      <c r="J164">
        <v>0</v>
      </c>
      <c r="K164">
        <v>1</v>
      </c>
      <c r="O164">
        <f t="shared" si="92"/>
        <v>21258.25</v>
      </c>
      <c r="P164">
        <f>SUMIF(SmtRes!AQ207:'SmtRes'!AQ212,"=1",SmtRes!DF207:'SmtRes'!DF212)</f>
        <v>8557.84</v>
      </c>
      <c r="Q164">
        <f>SUMIF(SmtRes!AQ207:'SmtRes'!AQ212,"=1",SmtRes!DG207:'SmtRes'!DG212)</f>
        <v>1962.78</v>
      </c>
      <c r="R164">
        <f>SUMIF(SmtRes!AQ207:'SmtRes'!AQ212,"=1",SmtRes!DH207:'SmtRes'!DH212)</f>
        <v>1073.79</v>
      </c>
      <c r="S164">
        <f>SUMIF(SmtRes!AQ207:'SmtRes'!AQ212,"=1",SmtRes!DI207:'SmtRes'!DI212)</f>
        <v>9663.84</v>
      </c>
      <c r="T164">
        <f t="shared" si="93"/>
        <v>0</v>
      </c>
      <c r="U164">
        <f>SUMIF(SmtRes!AQ207:'SmtRes'!AQ212,"=1",SmtRes!CV207:'SmtRes'!CV212)</f>
        <v>19.7</v>
      </c>
      <c r="V164">
        <f>SUMIF(SmtRes!AQ207:'SmtRes'!AQ212,"=1",SmtRes!CW207:'SmtRes'!CW212)</f>
        <v>1.88</v>
      </c>
      <c r="W164">
        <f t="shared" si="94"/>
        <v>0</v>
      </c>
      <c r="X164">
        <f t="shared" si="95"/>
        <v>10415.5</v>
      </c>
      <c r="Y164">
        <f t="shared" si="96"/>
        <v>5476.19</v>
      </c>
      <c r="AA164">
        <v>65170852</v>
      </c>
      <c r="AB164">
        <f t="shared" si="97"/>
        <v>19816.667600000001</v>
      </c>
      <c r="AC164">
        <f>ROUND((SUM(SmtRes!BQ207:'SmtRes'!BQ212)),6)</f>
        <v>8288.4</v>
      </c>
      <c r="AD164">
        <f>ROUND((((SUM(SmtRes!BR207:'SmtRes'!BR212))-(SUM(SmtRes!BS207:'SmtRes'!BS212)))+AE164),6)</f>
        <v>1864.4326000000001</v>
      </c>
      <c r="AE164">
        <f>ROUND((SUM(SmtRes!BS207:'SmtRes'!BS212)),6)</f>
        <v>1073.7850000000001</v>
      </c>
      <c r="AF164">
        <f>ROUND((SUM(SmtRes!BT207:'SmtRes'!BT212)),6)</f>
        <v>9663.8349999999991</v>
      </c>
      <c r="AG164">
        <f t="shared" si="98"/>
        <v>0</v>
      </c>
      <c r="AH164">
        <f>(SUM(SmtRes!BU207:'SmtRes'!BU212))</f>
        <v>19.7</v>
      </c>
      <c r="AI164">
        <f>(SUM(SmtRes!BV207:'SmtRes'!BV212))</f>
        <v>1.88</v>
      </c>
      <c r="AJ164">
        <f t="shared" si="99"/>
        <v>0</v>
      </c>
      <c r="AK164">
        <v>20890.452600000001</v>
      </c>
      <c r="AL164">
        <v>8288.4</v>
      </c>
      <c r="AM164">
        <v>1864.4326000000001</v>
      </c>
      <c r="AN164">
        <v>1073.7850000000001</v>
      </c>
      <c r="AO164">
        <v>9663.8349999999991</v>
      </c>
      <c r="AP164">
        <v>0</v>
      </c>
      <c r="AQ164">
        <v>19.7</v>
      </c>
      <c r="AR164">
        <v>1.88</v>
      </c>
      <c r="AS164">
        <v>0</v>
      </c>
      <c r="AT164">
        <v>97</v>
      </c>
      <c r="AU164">
        <v>51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2</v>
      </c>
      <c r="BJ164" t="s">
        <v>233</v>
      </c>
      <c r="BM164">
        <v>108001</v>
      </c>
      <c r="BN164">
        <v>0</v>
      </c>
      <c r="BO164" t="s">
        <v>3</v>
      </c>
      <c r="BP164">
        <v>0</v>
      </c>
      <c r="BQ164">
        <v>3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97</v>
      </c>
      <c r="CA164">
        <v>51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100"/>
        <v>21258.25</v>
      </c>
      <c r="CQ164">
        <f>SUMIF(SmtRes!AQ207:'SmtRes'!AQ212,"=1",SmtRes!AA207:'SmtRes'!AA212)</f>
        <v>929.26</v>
      </c>
      <c r="CR164">
        <f>SUMIF(SmtRes!AQ207:'SmtRes'!AQ212,"=1",SmtRes!AB207:'SmtRes'!AB212)</f>
        <v>2129.4700000000003</v>
      </c>
      <c r="CS164">
        <f>SUMIF(SmtRes!AQ207:'SmtRes'!AQ212,"=1",SmtRes!AC207:'SmtRes'!AC212)</f>
        <v>1149.49</v>
      </c>
      <c r="CT164">
        <f>SUMIF(SmtRes!AQ207:'SmtRes'!AQ212,"=1",SmtRes!AD207:'SmtRes'!AD212)</f>
        <v>490.55</v>
      </c>
      <c r="CU164">
        <f t="shared" si="101"/>
        <v>0</v>
      </c>
      <c r="CV164">
        <f>SUMIF(SmtRes!AQ207:'SmtRes'!AQ212,"=1",SmtRes!BU207:'SmtRes'!BU212)</f>
        <v>19.7</v>
      </c>
      <c r="CW164">
        <f>SUMIF(SmtRes!AQ207:'SmtRes'!AQ212,"=1",SmtRes!BV207:'SmtRes'!BV212)</f>
        <v>1.88</v>
      </c>
      <c r="CX164">
        <f t="shared" si="102"/>
        <v>0</v>
      </c>
      <c r="CY164">
        <f t="shared" si="103"/>
        <v>10415.501100000001</v>
      </c>
      <c r="CZ164">
        <f t="shared" si="104"/>
        <v>5476.1913000000004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1013</v>
      </c>
      <c r="DV164" t="s">
        <v>220</v>
      </c>
      <c r="DW164" t="s">
        <v>220</v>
      </c>
      <c r="DX164">
        <v>1</v>
      </c>
      <c r="DZ164" t="s">
        <v>3</v>
      </c>
      <c r="EA164" t="s">
        <v>3</v>
      </c>
      <c r="EB164" t="s">
        <v>3</v>
      </c>
      <c r="EC164" t="s">
        <v>3</v>
      </c>
      <c r="EE164">
        <v>64850885</v>
      </c>
      <c r="EF164">
        <v>3</v>
      </c>
      <c r="EG164" t="s">
        <v>224</v>
      </c>
      <c r="EH164">
        <v>0</v>
      </c>
      <c r="EI164" t="s">
        <v>3</v>
      </c>
      <c r="EJ164">
        <v>2</v>
      </c>
      <c r="EK164">
        <v>108001</v>
      </c>
      <c r="EL164" t="s">
        <v>225</v>
      </c>
      <c r="EM164" t="s">
        <v>226</v>
      </c>
      <c r="EO164" t="s">
        <v>3</v>
      </c>
      <c r="EQ164">
        <v>0</v>
      </c>
      <c r="ER164">
        <v>0</v>
      </c>
      <c r="ES164">
        <v>0</v>
      </c>
      <c r="ET164">
        <v>0</v>
      </c>
      <c r="EU164">
        <v>0</v>
      </c>
      <c r="EV164">
        <v>0</v>
      </c>
      <c r="EW164">
        <v>19.7</v>
      </c>
      <c r="EX164">
        <v>1.88</v>
      </c>
      <c r="EY164">
        <v>0</v>
      </c>
      <c r="FQ164">
        <v>0</v>
      </c>
      <c r="FR164">
        <f t="shared" si="105"/>
        <v>0</v>
      </c>
      <c r="FS164">
        <v>0</v>
      </c>
      <c r="FX164">
        <v>97</v>
      </c>
      <c r="FY164">
        <v>51</v>
      </c>
      <c r="GA164" t="s">
        <v>3</v>
      </c>
      <c r="GD164">
        <v>1</v>
      </c>
      <c r="GF164">
        <v>1516065221</v>
      </c>
      <c r="GG164">
        <v>2</v>
      </c>
      <c r="GH164">
        <v>1</v>
      </c>
      <c r="GI164">
        <v>-2</v>
      </c>
      <c r="GJ164">
        <v>0</v>
      </c>
      <c r="GK164">
        <v>0</v>
      </c>
      <c r="GL164">
        <f t="shared" si="106"/>
        <v>0</v>
      </c>
      <c r="GM164">
        <f t="shared" si="107"/>
        <v>37149.94</v>
      </c>
      <c r="GN164">
        <f t="shared" si="108"/>
        <v>0</v>
      </c>
      <c r="GO164">
        <f t="shared" si="109"/>
        <v>37149.94</v>
      </c>
      <c r="GP164">
        <f t="shared" si="110"/>
        <v>0</v>
      </c>
      <c r="GR164">
        <v>0</v>
      </c>
      <c r="GS164">
        <v>0</v>
      </c>
      <c r="GT164">
        <v>0</v>
      </c>
      <c r="GU164" t="s">
        <v>3</v>
      </c>
      <c r="GV164">
        <f t="shared" si="111"/>
        <v>0</v>
      </c>
      <c r="GW164">
        <v>1</v>
      </c>
      <c r="GX164">
        <f t="shared" si="112"/>
        <v>0</v>
      </c>
      <c r="HA164">
        <v>0</v>
      </c>
      <c r="HB164">
        <v>0</v>
      </c>
      <c r="HC164">
        <f t="shared" si="113"/>
        <v>0</v>
      </c>
      <c r="HE164" t="s">
        <v>3</v>
      </c>
      <c r="HF164" t="s">
        <v>3</v>
      </c>
      <c r="HM164" t="s">
        <v>3</v>
      </c>
      <c r="HN164" t="s">
        <v>228</v>
      </c>
      <c r="HO164" t="s">
        <v>229</v>
      </c>
      <c r="HP164" t="s">
        <v>225</v>
      </c>
      <c r="HQ164" t="s">
        <v>225</v>
      </c>
      <c r="IK164">
        <v>0</v>
      </c>
    </row>
    <row r="165" spans="1:245" x14ac:dyDescent="0.2">
      <c r="A165">
        <v>17</v>
      </c>
      <c r="B165">
        <v>1</v>
      </c>
      <c r="C165">
        <f>ROW(SmtRes!A227)</f>
        <v>227</v>
      </c>
      <c r="D165">
        <f>ROW(EtalonRes!A229)</f>
        <v>229</v>
      </c>
      <c r="E165" t="s">
        <v>268</v>
      </c>
      <c r="F165" t="s">
        <v>235</v>
      </c>
      <c r="G165" t="s">
        <v>269</v>
      </c>
      <c r="H165" t="s">
        <v>237</v>
      </c>
      <c r="I165">
        <v>1</v>
      </c>
      <c r="J165">
        <v>0</v>
      </c>
      <c r="K165">
        <v>1</v>
      </c>
      <c r="O165">
        <f t="shared" si="92"/>
        <v>5618.25</v>
      </c>
      <c r="P165">
        <f>SUMIF(SmtRes!AQ213:'SmtRes'!AQ227,"=1",SmtRes!DF213:'SmtRes'!DF227)</f>
        <v>29.03</v>
      </c>
      <c r="Q165">
        <f>SUMIF(SmtRes!AQ213:'SmtRes'!AQ227,"=1",SmtRes!DG213:'SmtRes'!DG227)</f>
        <v>1183.32</v>
      </c>
      <c r="R165">
        <f>SUMIF(SmtRes!AQ213:'SmtRes'!AQ227,"=1",SmtRes!DH213:'SmtRes'!DH227)</f>
        <v>603.07999999999993</v>
      </c>
      <c r="S165">
        <f>SUMIF(SmtRes!AQ213:'SmtRes'!AQ227,"=1",SmtRes!DI213:'SmtRes'!DI227)</f>
        <v>3802.82</v>
      </c>
      <c r="T165">
        <f t="shared" si="93"/>
        <v>0</v>
      </c>
      <c r="U165">
        <f>SUMIF(SmtRes!AQ213:'SmtRes'!AQ227,"=1",SmtRes!CV213:'SmtRes'!CV227)</f>
        <v>7.42</v>
      </c>
      <c r="V165">
        <f>SUMIF(SmtRes!AQ213:'SmtRes'!AQ227,"=1",SmtRes!CW213:'SmtRes'!CW227)</f>
        <v>1.02</v>
      </c>
      <c r="W165">
        <f t="shared" si="94"/>
        <v>0</v>
      </c>
      <c r="X165">
        <f t="shared" si="95"/>
        <v>4538.08</v>
      </c>
      <c r="Y165">
        <f t="shared" si="96"/>
        <v>2643.54</v>
      </c>
      <c r="AA165">
        <v>65170852</v>
      </c>
      <c r="AB165">
        <f t="shared" si="97"/>
        <v>4966.1770980000001</v>
      </c>
      <c r="AC165">
        <f>ROUND((SUM(SmtRes!BQ213:'SmtRes'!BQ227)),6)</f>
        <v>21.179798000000002</v>
      </c>
      <c r="AD165">
        <f>ROUND((((SUM(SmtRes!BR213:'SmtRes'!BR227))-(SUM(SmtRes!BS213:'SmtRes'!BS227)))+AE165),6)</f>
        <v>1142.1731</v>
      </c>
      <c r="AE165">
        <f>ROUND((SUM(SmtRes!BS213:'SmtRes'!BS227)),6)</f>
        <v>603.07889999999998</v>
      </c>
      <c r="AF165">
        <f>ROUND((SUM(SmtRes!BT213:'SmtRes'!BT227)),6)</f>
        <v>3802.8242</v>
      </c>
      <c r="AG165">
        <f t="shared" si="98"/>
        <v>0</v>
      </c>
      <c r="AH165">
        <f>(SUM(SmtRes!BU213:'SmtRes'!BU227))</f>
        <v>7.42</v>
      </c>
      <c r="AI165">
        <f>(SUM(SmtRes!BV213:'SmtRes'!BV227))</f>
        <v>1.02</v>
      </c>
      <c r="AJ165">
        <f t="shared" si="99"/>
        <v>0</v>
      </c>
      <c r="AK165">
        <v>5569.2559980000005</v>
      </c>
      <c r="AL165">
        <v>21.179797999999998</v>
      </c>
      <c r="AM165">
        <v>1142.1731</v>
      </c>
      <c r="AN165">
        <v>603.07889999999998</v>
      </c>
      <c r="AO165">
        <v>3802.8242</v>
      </c>
      <c r="AP165">
        <v>0</v>
      </c>
      <c r="AQ165">
        <v>7.42</v>
      </c>
      <c r="AR165">
        <v>1.02</v>
      </c>
      <c r="AS165">
        <v>0</v>
      </c>
      <c r="AT165">
        <v>103</v>
      </c>
      <c r="AU165">
        <v>60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1</v>
      </c>
      <c r="BJ165" t="s">
        <v>238</v>
      </c>
      <c r="BM165">
        <v>33001</v>
      </c>
      <c r="BN165">
        <v>0</v>
      </c>
      <c r="BO165" t="s">
        <v>3</v>
      </c>
      <c r="BP165">
        <v>0</v>
      </c>
      <c r="BQ165">
        <v>2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103</v>
      </c>
      <c r="CA165">
        <v>60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00"/>
        <v>5618.25</v>
      </c>
      <c r="CQ165">
        <f>SUMIF(SmtRes!AQ213:'SmtRes'!AQ227,"=1",SmtRes!AA213:'SmtRes'!AA227)</f>
        <v>98545.130000000019</v>
      </c>
      <c r="CR165">
        <f>SUMIF(SmtRes!AQ213:'SmtRes'!AQ227,"=1",SmtRes!AB213:'SmtRes'!AB227)</f>
        <v>2129.4700000000003</v>
      </c>
      <c r="CS165">
        <f>SUMIF(SmtRes!AQ213:'SmtRes'!AQ227,"=1",SmtRes!AC213:'SmtRes'!AC227)</f>
        <v>1149.49</v>
      </c>
      <c r="CT165">
        <f>SUMIF(SmtRes!AQ213:'SmtRes'!AQ227,"=1",SmtRes!AD213:'SmtRes'!AD227)</f>
        <v>512.51</v>
      </c>
      <c r="CU165">
        <f t="shared" si="101"/>
        <v>0</v>
      </c>
      <c r="CV165">
        <f>SUMIF(SmtRes!AQ213:'SmtRes'!AQ227,"=1",SmtRes!BU213:'SmtRes'!BU227)</f>
        <v>7.42</v>
      </c>
      <c r="CW165">
        <f>SUMIF(SmtRes!AQ213:'SmtRes'!AQ227,"=1",SmtRes!BV213:'SmtRes'!BV227)</f>
        <v>1.02</v>
      </c>
      <c r="CX165">
        <f t="shared" si="102"/>
        <v>0</v>
      </c>
      <c r="CY165">
        <f t="shared" si="103"/>
        <v>4538.0769999999993</v>
      </c>
      <c r="CZ165">
        <f t="shared" si="104"/>
        <v>2643.54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1013</v>
      </c>
      <c r="DV165" t="s">
        <v>237</v>
      </c>
      <c r="DW165" t="s">
        <v>237</v>
      </c>
      <c r="DX165">
        <v>1</v>
      </c>
      <c r="DZ165" t="s">
        <v>3</v>
      </c>
      <c r="EA165" t="s">
        <v>3</v>
      </c>
      <c r="EB165" t="s">
        <v>3</v>
      </c>
      <c r="EC165" t="s">
        <v>3</v>
      </c>
      <c r="EE165">
        <v>64851056</v>
      </c>
      <c r="EF165">
        <v>2</v>
      </c>
      <c r="EG165" t="s">
        <v>80</v>
      </c>
      <c r="EH165">
        <v>27</v>
      </c>
      <c r="EI165" t="s">
        <v>239</v>
      </c>
      <c r="EJ165">
        <v>1</v>
      </c>
      <c r="EK165">
        <v>33001</v>
      </c>
      <c r="EL165" t="s">
        <v>239</v>
      </c>
      <c r="EM165" t="s">
        <v>240</v>
      </c>
      <c r="EO165" t="s">
        <v>3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7.42</v>
      </c>
      <c r="EX165">
        <v>1.02</v>
      </c>
      <c r="EY165">
        <v>0</v>
      </c>
      <c r="FQ165">
        <v>0</v>
      </c>
      <c r="FR165">
        <f t="shared" si="105"/>
        <v>0</v>
      </c>
      <c r="FS165">
        <v>0</v>
      </c>
      <c r="FX165">
        <v>103</v>
      </c>
      <c r="FY165">
        <v>60</v>
      </c>
      <c r="GA165" t="s">
        <v>3</v>
      </c>
      <c r="GD165">
        <v>1</v>
      </c>
      <c r="GF165">
        <v>-331800515</v>
      </c>
      <c r="GG165">
        <v>2</v>
      </c>
      <c r="GH165">
        <v>1</v>
      </c>
      <c r="GI165">
        <v>-2</v>
      </c>
      <c r="GJ165">
        <v>0</v>
      </c>
      <c r="GK165">
        <v>0</v>
      </c>
      <c r="GL165">
        <f t="shared" si="106"/>
        <v>0</v>
      </c>
      <c r="GM165">
        <f t="shared" si="107"/>
        <v>12799.87</v>
      </c>
      <c r="GN165">
        <f t="shared" si="108"/>
        <v>12799.87</v>
      </c>
      <c r="GO165">
        <f t="shared" si="109"/>
        <v>0</v>
      </c>
      <c r="GP165">
        <f t="shared" si="110"/>
        <v>0</v>
      </c>
      <c r="GR165">
        <v>0</v>
      </c>
      <c r="GS165">
        <v>0</v>
      </c>
      <c r="GT165">
        <v>0</v>
      </c>
      <c r="GU165" t="s">
        <v>3</v>
      </c>
      <c r="GV165">
        <f t="shared" si="111"/>
        <v>0</v>
      </c>
      <c r="GW165">
        <v>1</v>
      </c>
      <c r="GX165">
        <f t="shared" si="112"/>
        <v>0</v>
      </c>
      <c r="HA165">
        <v>0</v>
      </c>
      <c r="HB165">
        <v>0</v>
      </c>
      <c r="HC165">
        <f t="shared" si="113"/>
        <v>0</v>
      </c>
      <c r="HE165" t="s">
        <v>3</v>
      </c>
      <c r="HF165" t="s">
        <v>3</v>
      </c>
      <c r="HM165" t="s">
        <v>3</v>
      </c>
      <c r="HN165" t="s">
        <v>241</v>
      </c>
      <c r="HO165" t="s">
        <v>242</v>
      </c>
      <c r="HP165" t="s">
        <v>239</v>
      </c>
      <c r="HQ165" t="s">
        <v>239</v>
      </c>
      <c r="IK165">
        <v>0</v>
      </c>
    </row>
    <row r="166" spans="1:245" x14ac:dyDescent="0.2">
      <c r="A166">
        <v>17</v>
      </c>
      <c r="B166">
        <v>1</v>
      </c>
      <c r="C166">
        <f>ROW(SmtRes!A236)</f>
        <v>236</v>
      </c>
      <c r="D166">
        <f>ROW(EtalonRes!A238)</f>
        <v>238</v>
      </c>
      <c r="E166" t="s">
        <v>270</v>
      </c>
      <c r="F166" t="s">
        <v>271</v>
      </c>
      <c r="G166" t="s">
        <v>272</v>
      </c>
      <c r="H166" t="s">
        <v>76</v>
      </c>
      <c r="I166">
        <f>ROUND(6/100,7)</f>
        <v>0.06</v>
      </c>
      <c r="J166">
        <v>0</v>
      </c>
      <c r="K166">
        <f>ROUND(6/100,7)</f>
        <v>0.06</v>
      </c>
      <c r="O166">
        <f t="shared" si="92"/>
        <v>1307.43</v>
      </c>
      <c r="P166">
        <f>SUMIF(SmtRes!AQ228:'SmtRes'!AQ236,"=1",SmtRes!DF228:'SmtRes'!DF236)</f>
        <v>74.87</v>
      </c>
      <c r="Q166">
        <f>SUMIF(SmtRes!AQ228:'SmtRes'!AQ236,"=1",SmtRes!DG228:'SmtRes'!DG236)</f>
        <v>13.030000000000001</v>
      </c>
      <c r="R166">
        <f>SUMIF(SmtRes!AQ228:'SmtRes'!AQ236,"=1",SmtRes!DH228:'SmtRes'!DH236)</f>
        <v>6.8900000000000006</v>
      </c>
      <c r="S166">
        <f>SUMIF(SmtRes!AQ228:'SmtRes'!AQ236,"=1",SmtRes!DI228:'SmtRes'!DI236)</f>
        <v>1212.6400000000001</v>
      </c>
      <c r="T166">
        <f t="shared" si="93"/>
        <v>0</v>
      </c>
      <c r="U166">
        <f>SUMIF(SmtRes!AQ228:'SmtRes'!AQ236,"=1",SmtRes!CV228:'SmtRes'!CV236)</f>
        <v>2.472</v>
      </c>
      <c r="V166">
        <f>SUMIF(SmtRes!AQ228:'SmtRes'!AQ236,"=1",SmtRes!CW228:'SmtRes'!CW236)</f>
        <v>1.2E-2</v>
      </c>
      <c r="W166">
        <f t="shared" si="94"/>
        <v>0</v>
      </c>
      <c r="X166">
        <f t="shared" si="95"/>
        <v>1182.94</v>
      </c>
      <c r="Y166">
        <f t="shared" si="96"/>
        <v>621.96</v>
      </c>
      <c r="AA166">
        <v>65170852</v>
      </c>
      <c r="AB166">
        <f t="shared" si="97"/>
        <v>21607.05775</v>
      </c>
      <c r="AC166">
        <f>ROUND((SUM(SmtRes!BQ228:'SmtRes'!BQ236)),6)</f>
        <v>1189.2755500000001</v>
      </c>
      <c r="AD166">
        <f>ROUND((((SUM(SmtRes!BR228:'SmtRes'!BR236))-(SUM(SmtRes!BS228:'SmtRes'!BS236)))+AE166),6)</f>
        <v>207.12219999999999</v>
      </c>
      <c r="AE166">
        <f>ROUND((SUM(SmtRes!BS228:'SmtRes'!BS236)),6)</f>
        <v>114.949</v>
      </c>
      <c r="AF166">
        <f>ROUND((SUM(SmtRes!BT228:'SmtRes'!BT236)),6)</f>
        <v>20210.66</v>
      </c>
      <c r="AG166">
        <f t="shared" si="98"/>
        <v>0</v>
      </c>
      <c r="AH166">
        <f>(SUM(SmtRes!BU228:'SmtRes'!BU236))</f>
        <v>41.2</v>
      </c>
      <c r="AI166">
        <f>(SUM(SmtRes!BV228:'SmtRes'!BV236))</f>
        <v>0.2</v>
      </c>
      <c r="AJ166">
        <f t="shared" si="99"/>
        <v>0</v>
      </c>
      <c r="AK166">
        <v>21722.006750000004</v>
      </c>
      <c r="AL166">
        <v>1189.2755500000001</v>
      </c>
      <c r="AM166">
        <v>207.12220000000002</v>
      </c>
      <c r="AN166">
        <v>114.94900000000001</v>
      </c>
      <c r="AO166">
        <v>20210.660000000003</v>
      </c>
      <c r="AP166">
        <v>0</v>
      </c>
      <c r="AQ166">
        <v>41.2</v>
      </c>
      <c r="AR166">
        <v>0.2</v>
      </c>
      <c r="AS166">
        <v>0</v>
      </c>
      <c r="AT166">
        <v>97</v>
      </c>
      <c r="AU166">
        <v>51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2</v>
      </c>
      <c r="BJ166" t="s">
        <v>273</v>
      </c>
      <c r="BM166">
        <v>108001</v>
      </c>
      <c r="BN166">
        <v>0</v>
      </c>
      <c r="BO166" t="s">
        <v>3</v>
      </c>
      <c r="BP166">
        <v>0</v>
      </c>
      <c r="BQ166">
        <v>3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97</v>
      </c>
      <c r="CA166">
        <v>51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00"/>
        <v>1307.4300000000003</v>
      </c>
      <c r="CQ166">
        <f>SUMIF(SmtRes!AQ228:'SmtRes'!AQ236,"=1",SmtRes!AA228:'SmtRes'!AA236)</f>
        <v>62937.109999999993</v>
      </c>
      <c r="CR166">
        <f>SUMIF(SmtRes!AQ228:'SmtRes'!AQ236,"=1",SmtRes!AB228:'SmtRes'!AB236)</f>
        <v>2155.7900000000004</v>
      </c>
      <c r="CS166">
        <f>SUMIF(SmtRes!AQ228:'SmtRes'!AQ236,"=1",SmtRes!AC228:'SmtRes'!AC236)</f>
        <v>1149.49</v>
      </c>
      <c r="CT166">
        <f>SUMIF(SmtRes!AQ228:'SmtRes'!AQ236,"=1",SmtRes!AD228:'SmtRes'!AD236)</f>
        <v>490.55</v>
      </c>
      <c r="CU166">
        <f t="shared" si="101"/>
        <v>0</v>
      </c>
      <c r="CV166">
        <f>SUMIF(SmtRes!AQ228:'SmtRes'!AQ236,"=1",SmtRes!BU228:'SmtRes'!BU236)</f>
        <v>41.2</v>
      </c>
      <c r="CW166">
        <f>SUMIF(SmtRes!AQ228:'SmtRes'!AQ236,"=1",SmtRes!BV228:'SmtRes'!BV236)</f>
        <v>0.2</v>
      </c>
      <c r="CX166">
        <f t="shared" si="102"/>
        <v>0</v>
      </c>
      <c r="CY166">
        <f t="shared" si="103"/>
        <v>1182.9441000000002</v>
      </c>
      <c r="CZ166">
        <f t="shared" si="104"/>
        <v>621.96030000000019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1013</v>
      </c>
      <c r="DV166" t="s">
        <v>76</v>
      </c>
      <c r="DW166" t="s">
        <v>76</v>
      </c>
      <c r="DX166">
        <v>1</v>
      </c>
      <c r="DZ166" t="s">
        <v>3</v>
      </c>
      <c r="EA166" t="s">
        <v>3</v>
      </c>
      <c r="EB166" t="s">
        <v>3</v>
      </c>
      <c r="EC166" t="s">
        <v>3</v>
      </c>
      <c r="EE166">
        <v>64850885</v>
      </c>
      <c r="EF166">
        <v>3</v>
      </c>
      <c r="EG166" t="s">
        <v>224</v>
      </c>
      <c r="EH166">
        <v>0</v>
      </c>
      <c r="EI166" t="s">
        <v>3</v>
      </c>
      <c r="EJ166">
        <v>2</v>
      </c>
      <c r="EK166">
        <v>108001</v>
      </c>
      <c r="EL166" t="s">
        <v>225</v>
      </c>
      <c r="EM166" t="s">
        <v>226</v>
      </c>
      <c r="EO166" t="s">
        <v>3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41.2</v>
      </c>
      <c r="EX166">
        <v>0.2</v>
      </c>
      <c r="EY166">
        <v>0</v>
      </c>
      <c r="FQ166">
        <v>0</v>
      </c>
      <c r="FR166">
        <f t="shared" si="105"/>
        <v>0</v>
      </c>
      <c r="FS166">
        <v>0</v>
      </c>
      <c r="FX166">
        <v>97</v>
      </c>
      <c r="FY166">
        <v>51</v>
      </c>
      <c r="GA166" t="s">
        <v>3</v>
      </c>
      <c r="GD166">
        <v>1</v>
      </c>
      <c r="GF166">
        <v>-136275848</v>
      </c>
      <c r="GG166">
        <v>2</v>
      </c>
      <c r="GH166">
        <v>1</v>
      </c>
      <c r="GI166">
        <v>-2</v>
      </c>
      <c r="GJ166">
        <v>0</v>
      </c>
      <c r="GK166">
        <v>0</v>
      </c>
      <c r="GL166">
        <f t="shared" si="106"/>
        <v>0</v>
      </c>
      <c r="GM166">
        <f t="shared" si="107"/>
        <v>3112.33</v>
      </c>
      <c r="GN166">
        <f t="shared" si="108"/>
        <v>0</v>
      </c>
      <c r="GO166">
        <f t="shared" si="109"/>
        <v>3112.33</v>
      </c>
      <c r="GP166">
        <f t="shared" si="110"/>
        <v>0</v>
      </c>
      <c r="GR166">
        <v>0</v>
      </c>
      <c r="GS166">
        <v>0</v>
      </c>
      <c r="GT166">
        <v>0</v>
      </c>
      <c r="GU166" t="s">
        <v>3</v>
      </c>
      <c r="GV166">
        <f t="shared" si="111"/>
        <v>0</v>
      </c>
      <c r="GW166">
        <v>1</v>
      </c>
      <c r="GX166">
        <f t="shared" si="112"/>
        <v>0</v>
      </c>
      <c r="HA166">
        <v>0</v>
      </c>
      <c r="HB166">
        <v>0</v>
      </c>
      <c r="HC166">
        <f t="shared" si="113"/>
        <v>0</v>
      </c>
      <c r="HE166" t="s">
        <v>3</v>
      </c>
      <c r="HF166" t="s">
        <v>3</v>
      </c>
      <c r="HM166" t="s">
        <v>3</v>
      </c>
      <c r="HN166" t="s">
        <v>228</v>
      </c>
      <c r="HO166" t="s">
        <v>229</v>
      </c>
      <c r="HP166" t="s">
        <v>225</v>
      </c>
      <c r="HQ166" t="s">
        <v>225</v>
      </c>
      <c r="IK166">
        <v>0</v>
      </c>
    </row>
    <row r="167" spans="1:245" x14ac:dyDescent="0.2">
      <c r="A167">
        <v>17</v>
      </c>
      <c r="B167">
        <v>1</v>
      </c>
      <c r="C167">
        <f>ROW(SmtRes!A246)</f>
        <v>246</v>
      </c>
      <c r="D167">
        <f>ROW(EtalonRes!A251)</f>
        <v>251</v>
      </c>
      <c r="E167" t="s">
        <v>274</v>
      </c>
      <c r="F167" t="s">
        <v>244</v>
      </c>
      <c r="G167" t="s">
        <v>275</v>
      </c>
      <c r="H167" t="s">
        <v>246</v>
      </c>
      <c r="I167">
        <v>0.01</v>
      </c>
      <c r="J167">
        <v>0</v>
      </c>
      <c r="K167">
        <v>0.01</v>
      </c>
      <c r="O167">
        <f t="shared" si="92"/>
        <v>591.70000000000005</v>
      </c>
      <c r="P167">
        <f>SUMIF(SmtRes!AQ237:'SmtRes'!AQ246,"=1",SmtRes!DF237:'SmtRes'!DF246)</f>
        <v>0</v>
      </c>
      <c r="Q167">
        <f>SUMIF(SmtRes!AQ237:'SmtRes'!AQ246,"=1",SmtRes!DG237:'SmtRes'!DG246)</f>
        <v>105.63</v>
      </c>
      <c r="R167">
        <f>SUMIF(SmtRes!AQ237:'SmtRes'!AQ246,"=1",SmtRes!DH237:'SmtRes'!DH246)</f>
        <v>110.16999999999999</v>
      </c>
      <c r="S167">
        <f>SUMIF(SmtRes!AQ237:'SmtRes'!AQ246,"=1",SmtRes!DI237:'SmtRes'!DI246)</f>
        <v>375.9</v>
      </c>
      <c r="T167">
        <f t="shared" si="93"/>
        <v>0</v>
      </c>
      <c r="U167">
        <f>SUMIF(SmtRes!AQ237:'SmtRes'!AQ246,"=1",SmtRes!CV237:'SmtRes'!CV246)</f>
        <v>0.78280000000000005</v>
      </c>
      <c r="V167">
        <f>SUMIF(SmtRes!AQ237:'SmtRes'!AQ246,"=1",SmtRes!CW237:'SmtRes'!CW246)</f>
        <v>0.22239999999999999</v>
      </c>
      <c r="W167">
        <f t="shared" si="94"/>
        <v>0</v>
      </c>
      <c r="X167">
        <f t="shared" si="95"/>
        <v>500.65</v>
      </c>
      <c r="Y167">
        <f t="shared" si="96"/>
        <v>291.64</v>
      </c>
      <c r="AA167">
        <v>65170852</v>
      </c>
      <c r="AB167">
        <f t="shared" si="97"/>
        <v>45768.165699999998</v>
      </c>
      <c r="AC167">
        <f>ROUND((0),6)</f>
        <v>0</v>
      </c>
      <c r="AD167">
        <f>ROUND((((SUM(SmtRes!BR237:'SmtRes'!BR246))-(SUM(SmtRes!BS237:'SmtRes'!BS246)))+AE167),6)</f>
        <v>8178.0843999999997</v>
      </c>
      <c r="AE167">
        <f>ROUND((SUM(SmtRes!BS237:'SmtRes'!BS246)),6)</f>
        <v>11017.6016</v>
      </c>
      <c r="AF167">
        <f>ROUND((SUM(SmtRes!BT237:'SmtRes'!BT246)),6)</f>
        <v>37590.081299999998</v>
      </c>
      <c r="AG167">
        <f t="shared" si="98"/>
        <v>0</v>
      </c>
      <c r="AH167">
        <f>(SUM(SmtRes!BU237:'SmtRes'!BU246))</f>
        <v>78.279999999999987</v>
      </c>
      <c r="AI167">
        <f>(SUM(SmtRes!BV237:'SmtRes'!BV246))</f>
        <v>22.24</v>
      </c>
      <c r="AJ167">
        <f t="shared" si="99"/>
        <v>0</v>
      </c>
      <c r="AK167">
        <v>56785.767300000007</v>
      </c>
      <c r="AL167">
        <v>0</v>
      </c>
      <c r="AM167">
        <v>8178.0844000000006</v>
      </c>
      <c r="AN167">
        <v>11017.6016</v>
      </c>
      <c r="AO167">
        <v>37590.081300000005</v>
      </c>
      <c r="AP167">
        <v>0</v>
      </c>
      <c r="AQ167">
        <v>78.279999999999987</v>
      </c>
      <c r="AR167">
        <v>22.24</v>
      </c>
      <c r="AS167">
        <v>0</v>
      </c>
      <c r="AT167">
        <v>103</v>
      </c>
      <c r="AU167">
        <v>60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1</v>
      </c>
      <c r="BJ167" t="s">
        <v>247</v>
      </c>
      <c r="BM167">
        <v>33001</v>
      </c>
      <c r="BN167">
        <v>0</v>
      </c>
      <c r="BO167" t="s">
        <v>3</v>
      </c>
      <c r="BP167">
        <v>0</v>
      </c>
      <c r="BQ167">
        <v>2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103</v>
      </c>
      <c r="CA167">
        <v>60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00"/>
        <v>591.69999999999993</v>
      </c>
      <c r="CQ167">
        <f>SUMIF(SmtRes!AQ237:'SmtRes'!AQ246,"=1",SmtRes!AA237:'SmtRes'!AA246)</f>
        <v>0</v>
      </c>
      <c r="CR167">
        <f>SUMIF(SmtRes!AQ237:'SmtRes'!AQ246,"=1",SmtRes!AB237:'SmtRes'!AB246)</f>
        <v>2792.64</v>
      </c>
      <c r="CS167">
        <f>SUMIF(SmtRes!AQ237:'SmtRes'!AQ246,"=1",SmtRes!AC237:'SmtRes'!AC246)</f>
        <v>2130.59</v>
      </c>
      <c r="CT167">
        <f>SUMIF(SmtRes!AQ237:'SmtRes'!AQ246,"=1",SmtRes!AD237:'SmtRes'!AD246)</f>
        <v>1888.98</v>
      </c>
      <c r="CU167">
        <f t="shared" si="101"/>
        <v>0</v>
      </c>
      <c r="CV167">
        <f>SUMIF(SmtRes!AQ237:'SmtRes'!AQ246,"=1",SmtRes!BU237:'SmtRes'!BU246)</f>
        <v>78.279999999999987</v>
      </c>
      <c r="CW167">
        <f>SUMIF(SmtRes!AQ237:'SmtRes'!AQ246,"=1",SmtRes!BV237:'SmtRes'!BV246)</f>
        <v>22.24</v>
      </c>
      <c r="CX167">
        <f t="shared" si="102"/>
        <v>0</v>
      </c>
      <c r="CY167">
        <f t="shared" si="103"/>
        <v>500.6520999999999</v>
      </c>
      <c r="CZ167">
        <f t="shared" si="104"/>
        <v>291.642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1003</v>
      </c>
      <c r="DV167" t="s">
        <v>246</v>
      </c>
      <c r="DW167" t="s">
        <v>246</v>
      </c>
      <c r="DX167">
        <v>1000</v>
      </c>
      <c r="DZ167" t="s">
        <v>3</v>
      </c>
      <c r="EA167" t="s">
        <v>3</v>
      </c>
      <c r="EB167" t="s">
        <v>3</v>
      </c>
      <c r="EC167" t="s">
        <v>3</v>
      </c>
      <c r="EE167">
        <v>64851056</v>
      </c>
      <c r="EF167">
        <v>2</v>
      </c>
      <c r="EG167" t="s">
        <v>80</v>
      </c>
      <c r="EH167">
        <v>27</v>
      </c>
      <c r="EI167" t="s">
        <v>239</v>
      </c>
      <c r="EJ167">
        <v>1</v>
      </c>
      <c r="EK167">
        <v>33001</v>
      </c>
      <c r="EL167" t="s">
        <v>239</v>
      </c>
      <c r="EM167" t="s">
        <v>240</v>
      </c>
      <c r="EO167" t="s">
        <v>3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78.28</v>
      </c>
      <c r="EX167">
        <v>22.24</v>
      </c>
      <c r="EY167">
        <v>0</v>
      </c>
      <c r="FQ167">
        <v>0</v>
      </c>
      <c r="FR167">
        <f t="shared" si="105"/>
        <v>0</v>
      </c>
      <c r="FS167">
        <v>0</v>
      </c>
      <c r="FX167">
        <v>103</v>
      </c>
      <c r="FY167">
        <v>60</v>
      </c>
      <c r="GA167" t="s">
        <v>3</v>
      </c>
      <c r="GD167">
        <v>1</v>
      </c>
      <c r="GF167">
        <v>1770886324</v>
      </c>
      <c r="GG167">
        <v>2</v>
      </c>
      <c r="GH167">
        <v>1</v>
      </c>
      <c r="GI167">
        <v>-2</v>
      </c>
      <c r="GJ167">
        <v>0</v>
      </c>
      <c r="GK167">
        <v>0</v>
      </c>
      <c r="GL167">
        <f t="shared" si="106"/>
        <v>0</v>
      </c>
      <c r="GM167">
        <f t="shared" si="107"/>
        <v>1383.99</v>
      </c>
      <c r="GN167">
        <f t="shared" si="108"/>
        <v>1383.99</v>
      </c>
      <c r="GO167">
        <f t="shared" si="109"/>
        <v>0</v>
      </c>
      <c r="GP167">
        <f t="shared" si="110"/>
        <v>0</v>
      </c>
      <c r="GR167">
        <v>0</v>
      </c>
      <c r="GS167">
        <v>0</v>
      </c>
      <c r="GT167">
        <v>0</v>
      </c>
      <c r="GU167" t="s">
        <v>3</v>
      </c>
      <c r="GV167">
        <f t="shared" si="111"/>
        <v>0</v>
      </c>
      <c r="GW167">
        <v>1</v>
      </c>
      <c r="GX167">
        <f t="shared" si="112"/>
        <v>0</v>
      </c>
      <c r="HA167">
        <v>0</v>
      </c>
      <c r="HB167">
        <v>0</v>
      </c>
      <c r="HC167">
        <f t="shared" si="113"/>
        <v>0</v>
      </c>
      <c r="HE167" t="s">
        <v>3</v>
      </c>
      <c r="HF167" t="s">
        <v>3</v>
      </c>
      <c r="HM167" t="s">
        <v>3</v>
      </c>
      <c r="HN167" t="s">
        <v>241</v>
      </c>
      <c r="HO167" t="s">
        <v>242</v>
      </c>
      <c r="HP167" t="s">
        <v>239</v>
      </c>
      <c r="HQ167" t="s">
        <v>239</v>
      </c>
      <c r="IK167">
        <v>0</v>
      </c>
    </row>
    <row r="168" spans="1:245" x14ac:dyDescent="0.2">
      <c r="A168">
        <v>17</v>
      </c>
      <c r="B168">
        <v>1</v>
      </c>
      <c r="C168">
        <f>ROW(SmtRes!A251)</f>
        <v>251</v>
      </c>
      <c r="D168">
        <f>ROW(EtalonRes!A257)</f>
        <v>257</v>
      </c>
      <c r="E168" t="s">
        <v>276</v>
      </c>
      <c r="F168" t="s">
        <v>249</v>
      </c>
      <c r="G168" t="s">
        <v>277</v>
      </c>
      <c r="H168" t="s">
        <v>220</v>
      </c>
      <c r="I168">
        <v>3</v>
      </c>
      <c r="J168">
        <v>0</v>
      </c>
      <c r="K168">
        <v>3</v>
      </c>
      <c r="O168">
        <f t="shared" si="92"/>
        <v>705.79</v>
      </c>
      <c r="P168">
        <f>SUMIF(SmtRes!AQ247:'SmtRes'!AQ251,"=1",SmtRes!DF247:'SmtRes'!DF251)</f>
        <v>48.28</v>
      </c>
      <c r="Q168">
        <f>SUMIF(SmtRes!AQ247:'SmtRes'!AQ251,"=1",SmtRes!DG247:'SmtRes'!DG251)</f>
        <v>44.71</v>
      </c>
      <c r="R168">
        <f>SUMIF(SmtRes!AQ247:'SmtRes'!AQ251,"=1",SmtRes!DH247:'SmtRes'!DH251)</f>
        <v>24.14</v>
      </c>
      <c r="S168">
        <f>SUMIF(SmtRes!AQ247:'SmtRes'!AQ251,"=1",SmtRes!DI247:'SmtRes'!DI251)</f>
        <v>588.66</v>
      </c>
      <c r="T168">
        <f t="shared" si="93"/>
        <v>0</v>
      </c>
      <c r="U168">
        <f>SUMIF(SmtRes!AQ247:'SmtRes'!AQ251,"=1",SmtRes!CV247:'SmtRes'!CV251)</f>
        <v>1.2</v>
      </c>
      <c r="V168">
        <f>SUMIF(SmtRes!AQ247:'SmtRes'!AQ251,"=1",SmtRes!CW247:'SmtRes'!CW251)</f>
        <v>4.2000000000000003E-2</v>
      </c>
      <c r="W168">
        <f t="shared" si="94"/>
        <v>0</v>
      </c>
      <c r="X168">
        <f t="shared" si="95"/>
        <v>594.41999999999996</v>
      </c>
      <c r="Y168">
        <f t="shared" si="96"/>
        <v>312.52999999999997</v>
      </c>
      <c r="AA168">
        <v>65170852</v>
      </c>
      <c r="AB168">
        <f t="shared" si="97"/>
        <v>224.41817</v>
      </c>
      <c r="AC168">
        <f>ROUND((SUM(SmtRes!BQ247:'SmtRes'!BQ251)),6)</f>
        <v>13.994400000000001</v>
      </c>
      <c r="AD168">
        <f>ROUND((((SUM(SmtRes!BR247:'SmtRes'!BR251))-(SUM(SmtRes!BS247:'SmtRes'!BS251)))+AE168),6)</f>
        <v>14.20377</v>
      </c>
      <c r="AE168">
        <f>ROUND((SUM(SmtRes!BS247:'SmtRes'!BS251)),6)</f>
        <v>8.0464300000000009</v>
      </c>
      <c r="AF168">
        <f>ROUND((SUM(SmtRes!BT247:'SmtRes'!BT251)),6)</f>
        <v>196.22</v>
      </c>
      <c r="AG168">
        <f t="shared" si="98"/>
        <v>0</v>
      </c>
      <c r="AH168">
        <f>(SUM(SmtRes!BU247:'SmtRes'!BU251))</f>
        <v>0.4</v>
      </c>
      <c r="AI168">
        <f>(SUM(SmtRes!BV247:'SmtRes'!BV251))</f>
        <v>1.4E-2</v>
      </c>
      <c r="AJ168">
        <f t="shared" si="99"/>
        <v>0</v>
      </c>
      <c r="AK168">
        <v>232.46460000000002</v>
      </c>
      <c r="AL168">
        <v>13.994400000000001</v>
      </c>
      <c r="AM168">
        <v>14.20377</v>
      </c>
      <c r="AN168">
        <v>8.0464300000000009</v>
      </c>
      <c r="AO168">
        <v>196.22000000000003</v>
      </c>
      <c r="AP168">
        <v>0</v>
      </c>
      <c r="AQ168">
        <v>0.4</v>
      </c>
      <c r="AR168">
        <v>1.4E-2</v>
      </c>
      <c r="AS168">
        <v>0</v>
      </c>
      <c r="AT168">
        <v>97</v>
      </c>
      <c r="AU168">
        <v>51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2</v>
      </c>
      <c r="BJ168" t="s">
        <v>251</v>
      </c>
      <c r="BM168">
        <v>108001</v>
      </c>
      <c r="BN168">
        <v>0</v>
      </c>
      <c r="BO168" t="s">
        <v>3</v>
      </c>
      <c r="BP168">
        <v>0</v>
      </c>
      <c r="BQ168">
        <v>3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97</v>
      </c>
      <c r="CA168">
        <v>51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00"/>
        <v>705.79</v>
      </c>
      <c r="CQ168">
        <f>SUMIF(SmtRes!AQ247:'SmtRes'!AQ251,"=1",SmtRes!AA247:'SmtRes'!AA251)</f>
        <v>201.17</v>
      </c>
      <c r="CR168">
        <f>SUMIF(SmtRes!AQ247:'SmtRes'!AQ251,"=1",SmtRes!AB247:'SmtRes'!AB251)</f>
        <v>2129.4700000000003</v>
      </c>
      <c r="CS168">
        <f>SUMIF(SmtRes!AQ247:'SmtRes'!AQ251,"=1",SmtRes!AC247:'SmtRes'!AC251)</f>
        <v>1149.49</v>
      </c>
      <c r="CT168">
        <f>SUMIF(SmtRes!AQ247:'SmtRes'!AQ251,"=1",SmtRes!AD247:'SmtRes'!AD251)</f>
        <v>490.55</v>
      </c>
      <c r="CU168">
        <f t="shared" si="101"/>
        <v>0</v>
      </c>
      <c r="CV168">
        <f>SUMIF(SmtRes!AQ247:'SmtRes'!AQ251,"=1",SmtRes!BU247:'SmtRes'!BU251)</f>
        <v>0.4</v>
      </c>
      <c r="CW168">
        <f>SUMIF(SmtRes!AQ247:'SmtRes'!AQ251,"=1",SmtRes!BV247:'SmtRes'!BV251)</f>
        <v>1.4E-2</v>
      </c>
      <c r="CX168">
        <f t="shared" si="102"/>
        <v>0</v>
      </c>
      <c r="CY168">
        <f t="shared" si="103"/>
        <v>594.41599999999994</v>
      </c>
      <c r="CZ168">
        <f t="shared" si="104"/>
        <v>312.52800000000002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1013</v>
      </c>
      <c r="DV168" t="s">
        <v>220</v>
      </c>
      <c r="DW168" t="s">
        <v>220</v>
      </c>
      <c r="DX168">
        <v>1</v>
      </c>
      <c r="DZ168" t="s">
        <v>3</v>
      </c>
      <c r="EA168" t="s">
        <v>3</v>
      </c>
      <c r="EB168" t="s">
        <v>3</v>
      </c>
      <c r="EC168" t="s">
        <v>3</v>
      </c>
      <c r="EE168">
        <v>64850885</v>
      </c>
      <c r="EF168">
        <v>3</v>
      </c>
      <c r="EG168" t="s">
        <v>224</v>
      </c>
      <c r="EH168">
        <v>0</v>
      </c>
      <c r="EI168" t="s">
        <v>3</v>
      </c>
      <c r="EJ168">
        <v>2</v>
      </c>
      <c r="EK168">
        <v>108001</v>
      </c>
      <c r="EL168" t="s">
        <v>225</v>
      </c>
      <c r="EM168" t="s">
        <v>226</v>
      </c>
      <c r="EO168" t="s">
        <v>3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0.4</v>
      </c>
      <c r="EX168">
        <v>0.01</v>
      </c>
      <c r="EY168">
        <v>0</v>
      </c>
      <c r="FQ168">
        <v>0</v>
      </c>
      <c r="FR168">
        <f t="shared" si="105"/>
        <v>0</v>
      </c>
      <c r="FS168">
        <v>0</v>
      </c>
      <c r="FX168">
        <v>97</v>
      </c>
      <c r="FY168">
        <v>51</v>
      </c>
      <c r="GA168" t="s">
        <v>3</v>
      </c>
      <c r="GD168">
        <v>1</v>
      </c>
      <c r="GF168">
        <v>-79067396</v>
      </c>
      <c r="GG168">
        <v>2</v>
      </c>
      <c r="GH168">
        <v>1</v>
      </c>
      <c r="GI168">
        <v>-2</v>
      </c>
      <c r="GJ168">
        <v>0</v>
      </c>
      <c r="GK168">
        <v>0</v>
      </c>
      <c r="GL168">
        <f t="shared" si="106"/>
        <v>0</v>
      </c>
      <c r="GM168">
        <f t="shared" si="107"/>
        <v>1612.74</v>
      </c>
      <c r="GN168">
        <f t="shared" si="108"/>
        <v>0</v>
      </c>
      <c r="GO168">
        <f t="shared" si="109"/>
        <v>1612.74</v>
      </c>
      <c r="GP168">
        <f t="shared" si="110"/>
        <v>0</v>
      </c>
      <c r="GR168">
        <v>0</v>
      </c>
      <c r="GS168">
        <v>0</v>
      </c>
      <c r="GT168">
        <v>0</v>
      </c>
      <c r="GU168" t="s">
        <v>3</v>
      </c>
      <c r="GV168">
        <f t="shared" si="111"/>
        <v>0</v>
      </c>
      <c r="GW168">
        <v>1</v>
      </c>
      <c r="GX168">
        <f t="shared" si="112"/>
        <v>0</v>
      </c>
      <c r="HA168">
        <v>0</v>
      </c>
      <c r="HB168">
        <v>0</v>
      </c>
      <c r="HC168">
        <f t="shared" si="113"/>
        <v>0</v>
      </c>
      <c r="HE168" t="s">
        <v>3</v>
      </c>
      <c r="HF168" t="s">
        <v>3</v>
      </c>
      <c r="HM168" t="s">
        <v>3</v>
      </c>
      <c r="HN168" t="s">
        <v>228</v>
      </c>
      <c r="HO168" t="s">
        <v>229</v>
      </c>
      <c r="HP168" t="s">
        <v>225</v>
      </c>
      <c r="HQ168" t="s">
        <v>225</v>
      </c>
      <c r="IK168">
        <v>0</v>
      </c>
    </row>
    <row r="169" spans="1:245" x14ac:dyDescent="0.2">
      <c r="A169">
        <v>17</v>
      </c>
      <c r="B169">
        <v>1</v>
      </c>
      <c r="C169">
        <f>ROW(SmtRes!A265)</f>
        <v>265</v>
      </c>
      <c r="D169">
        <f>ROW(EtalonRes!A272)</f>
        <v>272</v>
      </c>
      <c r="E169" t="s">
        <v>278</v>
      </c>
      <c r="F169" t="s">
        <v>279</v>
      </c>
      <c r="G169" t="s">
        <v>280</v>
      </c>
      <c r="H169" t="s">
        <v>76</v>
      </c>
      <c r="I169">
        <f>ROUND(24/100,7)</f>
        <v>0.24</v>
      </c>
      <c r="J169">
        <v>0</v>
      </c>
      <c r="K169">
        <f>ROUND(24/100,7)</f>
        <v>0.24</v>
      </c>
      <c r="O169">
        <f t="shared" si="92"/>
        <v>10384.040000000001</v>
      </c>
      <c r="P169">
        <f>SUMIF(SmtRes!AQ252:'SmtRes'!AQ265,"=1",SmtRes!DF252:'SmtRes'!DF265)</f>
        <v>1784.02</v>
      </c>
      <c r="Q169">
        <f>SUMIF(SmtRes!AQ252:'SmtRes'!AQ265,"=1",SmtRes!DG252:'SmtRes'!DG265)</f>
        <v>101.78999999999999</v>
      </c>
      <c r="R169">
        <f>SUMIF(SmtRes!AQ252:'SmtRes'!AQ265,"=1",SmtRes!DH252:'SmtRes'!DH265)</f>
        <v>11.04</v>
      </c>
      <c r="S169">
        <f>SUMIF(SmtRes!AQ252:'SmtRes'!AQ265,"=1",SmtRes!DI252:'SmtRes'!DI265)</f>
        <v>8487.19</v>
      </c>
      <c r="T169">
        <f t="shared" si="93"/>
        <v>0</v>
      </c>
      <c r="U169">
        <f>SUMIF(SmtRes!AQ252:'SmtRes'!AQ265,"=1",SmtRes!CV252:'SmtRes'!CV265)</f>
        <v>16.8</v>
      </c>
      <c r="V169">
        <f>SUMIF(SmtRes!AQ252:'SmtRes'!AQ265,"=1",SmtRes!CW252:'SmtRes'!CW265)</f>
        <v>1.9199999999999998E-2</v>
      </c>
      <c r="W169">
        <f t="shared" si="94"/>
        <v>0</v>
      </c>
      <c r="X169">
        <f t="shared" si="95"/>
        <v>8243.2800000000007</v>
      </c>
      <c r="Y169">
        <f t="shared" si="96"/>
        <v>4334.1000000000004</v>
      </c>
      <c r="AA169">
        <v>65170852</v>
      </c>
      <c r="AB169">
        <f t="shared" si="97"/>
        <v>41737.621185999997</v>
      </c>
      <c r="AC169">
        <f>ROUND((SUM(SmtRes!BQ252:'SmtRes'!BQ265)),6)</f>
        <v>5979.6071860000002</v>
      </c>
      <c r="AD169">
        <f>ROUND((((SUM(SmtRes!BR252:'SmtRes'!BR265))-(SUM(SmtRes!BS252:'SmtRes'!BS265)))+AE169),6)</f>
        <v>394.714</v>
      </c>
      <c r="AE169">
        <f>ROUND((SUM(SmtRes!BS252:'SmtRes'!BS265)),6)</f>
        <v>45.979599999999998</v>
      </c>
      <c r="AF169">
        <f>ROUND((SUM(SmtRes!BT252:'SmtRes'!BT265)),6)</f>
        <v>35363.300000000003</v>
      </c>
      <c r="AG169">
        <f t="shared" si="98"/>
        <v>0</v>
      </c>
      <c r="AH169">
        <f>(SUM(SmtRes!BU252:'SmtRes'!BU265))</f>
        <v>70</v>
      </c>
      <c r="AI169">
        <f>(SUM(SmtRes!BV252:'SmtRes'!BV265))</f>
        <v>0.08</v>
      </c>
      <c r="AJ169">
        <f t="shared" si="99"/>
        <v>0</v>
      </c>
      <c r="AK169">
        <v>41783.600786000003</v>
      </c>
      <c r="AL169">
        <v>5979.6071860000002</v>
      </c>
      <c r="AM169">
        <v>394.714</v>
      </c>
      <c r="AN169">
        <v>45.979600000000005</v>
      </c>
      <c r="AO169">
        <v>35363.300000000003</v>
      </c>
      <c r="AP169">
        <v>0</v>
      </c>
      <c r="AQ169">
        <v>70</v>
      </c>
      <c r="AR169">
        <v>0.08</v>
      </c>
      <c r="AS169">
        <v>0</v>
      </c>
      <c r="AT169">
        <v>97</v>
      </c>
      <c r="AU169">
        <v>51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0</v>
      </c>
      <c r="BI169">
        <v>2</v>
      </c>
      <c r="BJ169" t="s">
        <v>281</v>
      </c>
      <c r="BM169">
        <v>108001</v>
      </c>
      <c r="BN169">
        <v>0</v>
      </c>
      <c r="BO169" t="s">
        <v>3</v>
      </c>
      <c r="BP169">
        <v>0</v>
      </c>
      <c r="BQ169">
        <v>3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97</v>
      </c>
      <c r="CA169">
        <v>51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00"/>
        <v>10384.040000000001</v>
      </c>
      <c r="CQ169">
        <f>SUMIF(SmtRes!AQ252:'SmtRes'!AQ265,"=1",SmtRes!AA252:'SmtRes'!AA265)</f>
        <v>994065.6</v>
      </c>
      <c r="CR169">
        <f>SUMIF(SmtRes!AQ252:'SmtRes'!AQ265,"=1",SmtRes!AB252:'SmtRes'!AB265)</f>
        <v>2184.2200000000003</v>
      </c>
      <c r="CS169">
        <f>SUMIF(SmtRes!AQ252:'SmtRes'!AQ265,"=1",SmtRes!AC252:'SmtRes'!AC265)</f>
        <v>1149.49</v>
      </c>
      <c r="CT169">
        <f>SUMIF(SmtRes!AQ252:'SmtRes'!AQ265,"=1",SmtRes!AD252:'SmtRes'!AD265)</f>
        <v>505.19</v>
      </c>
      <c r="CU169">
        <f t="shared" si="101"/>
        <v>0</v>
      </c>
      <c r="CV169">
        <f>SUMIF(SmtRes!AQ252:'SmtRes'!AQ265,"=1",SmtRes!BU252:'SmtRes'!BU265)</f>
        <v>70</v>
      </c>
      <c r="CW169">
        <f>SUMIF(SmtRes!AQ252:'SmtRes'!AQ265,"=1",SmtRes!BV252:'SmtRes'!BV265)</f>
        <v>0.08</v>
      </c>
      <c r="CX169">
        <f t="shared" si="102"/>
        <v>0</v>
      </c>
      <c r="CY169">
        <f t="shared" si="103"/>
        <v>8243.2831000000024</v>
      </c>
      <c r="CZ169">
        <f t="shared" si="104"/>
        <v>4334.0973000000013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1013</v>
      </c>
      <c r="DV169" t="s">
        <v>76</v>
      </c>
      <c r="DW169" t="s">
        <v>76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64850885</v>
      </c>
      <c r="EF169">
        <v>3</v>
      </c>
      <c r="EG169" t="s">
        <v>224</v>
      </c>
      <c r="EH169">
        <v>0</v>
      </c>
      <c r="EI169" t="s">
        <v>3</v>
      </c>
      <c r="EJ169">
        <v>2</v>
      </c>
      <c r="EK169">
        <v>108001</v>
      </c>
      <c r="EL169" t="s">
        <v>225</v>
      </c>
      <c r="EM169" t="s">
        <v>226</v>
      </c>
      <c r="EO169" t="s">
        <v>3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70</v>
      </c>
      <c r="EX169">
        <v>0.08</v>
      </c>
      <c r="EY169">
        <v>0</v>
      </c>
      <c r="FQ169">
        <v>0</v>
      </c>
      <c r="FR169">
        <f t="shared" si="105"/>
        <v>0</v>
      </c>
      <c r="FS169">
        <v>0</v>
      </c>
      <c r="FX169">
        <v>97</v>
      </c>
      <c r="FY169">
        <v>51</v>
      </c>
      <c r="GA169" t="s">
        <v>3</v>
      </c>
      <c r="GD169">
        <v>1</v>
      </c>
      <c r="GF169">
        <v>236298748</v>
      </c>
      <c r="GG169">
        <v>2</v>
      </c>
      <c r="GH169">
        <v>1</v>
      </c>
      <c r="GI169">
        <v>-2</v>
      </c>
      <c r="GJ169">
        <v>0</v>
      </c>
      <c r="GK169">
        <v>0</v>
      </c>
      <c r="GL169">
        <f t="shared" si="106"/>
        <v>0</v>
      </c>
      <c r="GM169">
        <f t="shared" si="107"/>
        <v>22961.42</v>
      </c>
      <c r="GN169">
        <f t="shared" si="108"/>
        <v>0</v>
      </c>
      <c r="GO169">
        <f t="shared" si="109"/>
        <v>22961.42</v>
      </c>
      <c r="GP169">
        <f t="shared" si="110"/>
        <v>0</v>
      </c>
      <c r="GR169">
        <v>0</v>
      </c>
      <c r="GS169">
        <v>0</v>
      </c>
      <c r="GT169">
        <v>0</v>
      </c>
      <c r="GU169" t="s">
        <v>3</v>
      </c>
      <c r="GV169">
        <f t="shared" si="111"/>
        <v>0</v>
      </c>
      <c r="GW169">
        <v>1</v>
      </c>
      <c r="GX169">
        <f t="shared" si="112"/>
        <v>0</v>
      </c>
      <c r="HA169">
        <v>0</v>
      </c>
      <c r="HB169">
        <v>0</v>
      </c>
      <c r="HC169">
        <f t="shared" si="113"/>
        <v>0</v>
      </c>
      <c r="HE169" t="s">
        <v>3</v>
      </c>
      <c r="HF169" t="s">
        <v>3</v>
      </c>
      <c r="HM169" t="s">
        <v>3</v>
      </c>
      <c r="HN169" t="s">
        <v>228</v>
      </c>
      <c r="HO169" t="s">
        <v>229</v>
      </c>
      <c r="HP169" t="s">
        <v>225</v>
      </c>
      <c r="HQ169" t="s">
        <v>225</v>
      </c>
      <c r="IK169">
        <v>0</v>
      </c>
    </row>
    <row r="170" spans="1:245" x14ac:dyDescent="0.2">
      <c r="A170">
        <v>17</v>
      </c>
      <c r="B170">
        <v>1</v>
      </c>
      <c r="C170">
        <f>ROW(SmtRes!A272)</f>
        <v>272</v>
      </c>
      <c r="D170">
        <f>ROW(EtalonRes!A280)</f>
        <v>280</v>
      </c>
      <c r="E170" t="s">
        <v>282</v>
      </c>
      <c r="F170" t="s">
        <v>253</v>
      </c>
      <c r="G170" t="s">
        <v>283</v>
      </c>
      <c r="H170" t="s">
        <v>255</v>
      </c>
      <c r="I170">
        <f>ROUND(8/10,7)</f>
        <v>0.8</v>
      </c>
      <c r="J170">
        <v>0</v>
      </c>
      <c r="K170">
        <f>ROUND(8/10,7)</f>
        <v>0.8</v>
      </c>
      <c r="O170">
        <f t="shared" si="92"/>
        <v>6929.52</v>
      </c>
      <c r="P170">
        <f>SUMIF(SmtRes!AQ266:'SmtRes'!AQ272,"=1",SmtRes!DF266:'SmtRes'!DF272)</f>
        <v>2237.8999999999996</v>
      </c>
      <c r="Q170">
        <f>SUMIF(SmtRes!AQ266:'SmtRes'!AQ272,"=1",SmtRes!DG266:'SmtRes'!DG272)</f>
        <v>491.76000000000005</v>
      </c>
      <c r="R170">
        <f>SUMIF(SmtRes!AQ266:'SmtRes'!AQ272,"=1",SmtRes!DH266:'SmtRes'!DH272)</f>
        <v>248.29000000000002</v>
      </c>
      <c r="S170">
        <f>SUMIF(SmtRes!AQ266:'SmtRes'!AQ272,"=1",SmtRes!DI266:'SmtRes'!DI272)</f>
        <v>3951.57</v>
      </c>
      <c r="T170">
        <f t="shared" si="93"/>
        <v>0</v>
      </c>
      <c r="U170">
        <f>SUMIF(SmtRes!AQ266:'SmtRes'!AQ272,"=1",SmtRes!CV266:'SmtRes'!CV272)</f>
        <v>8.24</v>
      </c>
      <c r="V170">
        <f>SUMIF(SmtRes!AQ266:'SmtRes'!AQ272,"=1",SmtRes!CW266:'SmtRes'!CW272)</f>
        <v>0.432</v>
      </c>
      <c r="W170">
        <f t="shared" si="94"/>
        <v>0</v>
      </c>
      <c r="X170">
        <f t="shared" si="95"/>
        <v>4073.86</v>
      </c>
      <c r="Y170">
        <f t="shared" si="96"/>
        <v>2141.9299999999998</v>
      </c>
      <c r="AA170">
        <v>65170852</v>
      </c>
      <c r="AB170">
        <f t="shared" si="97"/>
        <v>7826.8684999999996</v>
      </c>
      <c r="AC170">
        <f>ROUND((SUM(SmtRes!BQ266:'SmtRes'!BQ272)),6)</f>
        <v>2299.7975999999999</v>
      </c>
      <c r="AD170">
        <f>ROUND((((SUM(SmtRes!BR266:'SmtRes'!BR272))-(SUM(SmtRes!BS266:'SmtRes'!BS272)))+AE170),6)</f>
        <v>587.60289999999998</v>
      </c>
      <c r="AE170">
        <f>ROUND((SUM(SmtRes!BS266:'SmtRes'!BS272)),6)</f>
        <v>310.3623</v>
      </c>
      <c r="AF170">
        <f>ROUND((SUM(SmtRes!BT266:'SmtRes'!BT272)),6)</f>
        <v>4939.4679999999998</v>
      </c>
      <c r="AG170">
        <f t="shared" si="98"/>
        <v>0</v>
      </c>
      <c r="AH170">
        <f>(SUM(SmtRes!BU266:'SmtRes'!BU272))</f>
        <v>10.3</v>
      </c>
      <c r="AI170">
        <f>(SUM(SmtRes!BV266:'SmtRes'!BV272))</f>
        <v>0.54</v>
      </c>
      <c r="AJ170">
        <f t="shared" si="99"/>
        <v>0</v>
      </c>
      <c r="AK170">
        <v>8137.2308000000003</v>
      </c>
      <c r="AL170">
        <v>2299.7975999999999</v>
      </c>
      <c r="AM170">
        <v>587.60290000000009</v>
      </c>
      <c r="AN170">
        <v>310.36230000000006</v>
      </c>
      <c r="AO170">
        <v>4939.4680000000008</v>
      </c>
      <c r="AP170">
        <v>0</v>
      </c>
      <c r="AQ170">
        <v>10.3</v>
      </c>
      <c r="AR170">
        <v>0.54</v>
      </c>
      <c r="AS170">
        <v>0</v>
      </c>
      <c r="AT170">
        <v>97</v>
      </c>
      <c r="AU170">
        <v>51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0</v>
      </c>
      <c r="BI170">
        <v>2</v>
      </c>
      <c r="BJ170" t="s">
        <v>256</v>
      </c>
      <c r="BM170">
        <v>108001</v>
      </c>
      <c r="BN170">
        <v>0</v>
      </c>
      <c r="BO170" t="s">
        <v>3</v>
      </c>
      <c r="BP170">
        <v>0</v>
      </c>
      <c r="BQ170">
        <v>3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97</v>
      </c>
      <c r="CA170">
        <v>51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00"/>
        <v>6929.5199999999995</v>
      </c>
      <c r="CQ170">
        <f>SUMIF(SmtRes!AQ266:'SmtRes'!AQ272,"=1",SmtRes!AA266:'SmtRes'!AA272)</f>
        <v>1269.07</v>
      </c>
      <c r="CR170">
        <f>SUMIF(SmtRes!AQ266:'SmtRes'!AQ272,"=1",SmtRes!AB266:'SmtRes'!AB272)</f>
        <v>2155.7900000000004</v>
      </c>
      <c r="CS170">
        <f>SUMIF(SmtRes!AQ266:'SmtRes'!AQ272,"=1",SmtRes!AC266:'SmtRes'!AC272)</f>
        <v>1149.49</v>
      </c>
      <c r="CT170">
        <f>SUMIF(SmtRes!AQ266:'SmtRes'!AQ272,"=1",SmtRes!AD266:'SmtRes'!AD272)</f>
        <v>479.56</v>
      </c>
      <c r="CU170">
        <f t="shared" si="101"/>
        <v>0</v>
      </c>
      <c r="CV170">
        <f>SUMIF(SmtRes!AQ266:'SmtRes'!AQ272,"=1",SmtRes!BU266:'SmtRes'!BU272)</f>
        <v>10.3</v>
      </c>
      <c r="CW170">
        <f>SUMIF(SmtRes!AQ266:'SmtRes'!AQ272,"=1",SmtRes!BV266:'SmtRes'!BV272)</f>
        <v>0.54</v>
      </c>
      <c r="CX170">
        <f t="shared" si="102"/>
        <v>0</v>
      </c>
      <c r="CY170">
        <f t="shared" si="103"/>
        <v>4073.8642000000004</v>
      </c>
      <c r="CZ170">
        <f t="shared" si="104"/>
        <v>2141.9286000000006</v>
      </c>
      <c r="DC170" t="s">
        <v>3</v>
      </c>
      <c r="DD170" t="s">
        <v>3</v>
      </c>
      <c r="DE170" t="s">
        <v>3</v>
      </c>
      <c r="DF170" t="s">
        <v>3</v>
      </c>
      <c r="DG170" t="s">
        <v>3</v>
      </c>
      <c r="DH170" t="s">
        <v>3</v>
      </c>
      <c r="DI170" t="s">
        <v>3</v>
      </c>
      <c r="DJ170" t="s">
        <v>3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1013</v>
      </c>
      <c r="DV170" t="s">
        <v>255</v>
      </c>
      <c r="DW170" t="s">
        <v>255</v>
      </c>
      <c r="DX170">
        <v>1</v>
      </c>
      <c r="DZ170" t="s">
        <v>3</v>
      </c>
      <c r="EA170" t="s">
        <v>3</v>
      </c>
      <c r="EB170" t="s">
        <v>3</v>
      </c>
      <c r="EC170" t="s">
        <v>3</v>
      </c>
      <c r="EE170">
        <v>64850885</v>
      </c>
      <c r="EF170">
        <v>3</v>
      </c>
      <c r="EG170" t="s">
        <v>224</v>
      </c>
      <c r="EH170">
        <v>0</v>
      </c>
      <c r="EI170" t="s">
        <v>3</v>
      </c>
      <c r="EJ170">
        <v>2</v>
      </c>
      <c r="EK170">
        <v>108001</v>
      </c>
      <c r="EL170" t="s">
        <v>225</v>
      </c>
      <c r="EM170" t="s">
        <v>226</v>
      </c>
      <c r="EO170" t="s">
        <v>3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10.3</v>
      </c>
      <c r="EX170">
        <v>0.54</v>
      </c>
      <c r="EY170">
        <v>0</v>
      </c>
      <c r="FQ170">
        <v>0</v>
      </c>
      <c r="FR170">
        <f t="shared" si="105"/>
        <v>0</v>
      </c>
      <c r="FS170">
        <v>0</v>
      </c>
      <c r="FX170">
        <v>97</v>
      </c>
      <c r="FY170">
        <v>51</v>
      </c>
      <c r="GA170" t="s">
        <v>3</v>
      </c>
      <c r="GD170">
        <v>1</v>
      </c>
      <c r="GF170">
        <v>-205421169</v>
      </c>
      <c r="GG170">
        <v>2</v>
      </c>
      <c r="GH170">
        <v>1</v>
      </c>
      <c r="GI170">
        <v>-2</v>
      </c>
      <c r="GJ170">
        <v>0</v>
      </c>
      <c r="GK170">
        <v>0</v>
      </c>
      <c r="GL170">
        <f t="shared" si="106"/>
        <v>0</v>
      </c>
      <c r="GM170">
        <f t="shared" si="107"/>
        <v>13145.31</v>
      </c>
      <c r="GN170">
        <f t="shared" si="108"/>
        <v>0</v>
      </c>
      <c r="GO170">
        <f t="shared" si="109"/>
        <v>13145.31</v>
      </c>
      <c r="GP170">
        <f t="shared" si="110"/>
        <v>0</v>
      </c>
      <c r="GR170">
        <v>0</v>
      </c>
      <c r="GS170">
        <v>0</v>
      </c>
      <c r="GT170">
        <v>0</v>
      </c>
      <c r="GU170" t="s">
        <v>3</v>
      </c>
      <c r="GV170">
        <f t="shared" si="111"/>
        <v>0</v>
      </c>
      <c r="GW170">
        <v>1</v>
      </c>
      <c r="GX170">
        <f t="shared" si="112"/>
        <v>0</v>
      </c>
      <c r="HA170">
        <v>0</v>
      </c>
      <c r="HB170">
        <v>0</v>
      </c>
      <c r="HC170">
        <f t="shared" si="113"/>
        <v>0</v>
      </c>
      <c r="HE170" t="s">
        <v>3</v>
      </c>
      <c r="HF170" t="s">
        <v>3</v>
      </c>
      <c r="HM170" t="s">
        <v>3</v>
      </c>
      <c r="HN170" t="s">
        <v>228</v>
      </c>
      <c r="HO170" t="s">
        <v>229</v>
      </c>
      <c r="HP170" t="s">
        <v>225</v>
      </c>
      <c r="HQ170" t="s">
        <v>225</v>
      </c>
      <c r="IK170">
        <v>0</v>
      </c>
    </row>
    <row r="171" spans="1:245" x14ac:dyDescent="0.2">
      <c r="A171">
        <v>17</v>
      </c>
      <c r="B171">
        <v>1</v>
      </c>
      <c r="C171">
        <f>ROW(SmtRes!A281)</f>
        <v>281</v>
      </c>
      <c r="D171">
        <f>ROW(EtalonRes!A289)</f>
        <v>289</v>
      </c>
      <c r="E171" t="s">
        <v>284</v>
      </c>
      <c r="F171" t="s">
        <v>258</v>
      </c>
      <c r="G171" t="s">
        <v>285</v>
      </c>
      <c r="H171" t="s">
        <v>260</v>
      </c>
      <c r="I171">
        <f>ROUND(42/100,7)</f>
        <v>0.42</v>
      </c>
      <c r="J171">
        <v>0</v>
      </c>
      <c r="K171">
        <f>ROUND(42/100,7)</f>
        <v>0.42</v>
      </c>
      <c r="O171">
        <f t="shared" si="92"/>
        <v>5341.58</v>
      </c>
      <c r="P171">
        <f>SUMIF(SmtRes!AQ273:'SmtRes'!AQ281,"=1",SmtRes!DF273:'SmtRes'!DF281)</f>
        <v>1266.5999999999999</v>
      </c>
      <c r="Q171">
        <f>SUMIF(SmtRes!AQ273:'SmtRes'!AQ281,"=1",SmtRes!DG273:'SmtRes'!DG281)</f>
        <v>237.76</v>
      </c>
      <c r="R171">
        <f>SUMIF(SmtRes!AQ273:'SmtRes'!AQ281,"=1",SmtRes!DH273:'SmtRes'!DH281)</f>
        <v>111.03999999999999</v>
      </c>
      <c r="S171">
        <f>SUMIF(SmtRes!AQ273:'SmtRes'!AQ281,"=1",SmtRes!DI273:'SmtRes'!DI281)</f>
        <v>3726.18</v>
      </c>
      <c r="T171">
        <f t="shared" si="93"/>
        <v>0</v>
      </c>
      <c r="U171">
        <f>SUMIF(SmtRes!AQ273:'SmtRes'!AQ281,"=1",SmtRes!CV273:'SmtRes'!CV281)</f>
        <v>7.77</v>
      </c>
      <c r="V171">
        <f>SUMIF(SmtRes!AQ273:'SmtRes'!AQ281,"=1",SmtRes!CW273:'SmtRes'!CW281)</f>
        <v>0.19320000000000001</v>
      </c>
      <c r="W171">
        <f t="shared" si="94"/>
        <v>0</v>
      </c>
      <c r="X171">
        <f t="shared" si="95"/>
        <v>3722.1</v>
      </c>
      <c r="Y171">
        <f t="shared" si="96"/>
        <v>1956.98</v>
      </c>
      <c r="AA171">
        <v>65170852</v>
      </c>
      <c r="AB171">
        <f t="shared" si="97"/>
        <v>11998.3163</v>
      </c>
      <c r="AC171">
        <f>ROUND((SUM(SmtRes!BQ273:'SmtRes'!BQ281)),6)</f>
        <v>2583.433</v>
      </c>
      <c r="AD171">
        <f>ROUND((((SUM(SmtRes!BR273:'SmtRes'!BR281))-(SUM(SmtRes!BS273:'SmtRes'!BS281)))+AE171),6)</f>
        <v>543.02329999999995</v>
      </c>
      <c r="AE171">
        <f>ROUND((SUM(SmtRes!BS273:'SmtRes'!BS281)),6)</f>
        <v>264.3827</v>
      </c>
      <c r="AF171">
        <f>ROUND((SUM(SmtRes!BT273:'SmtRes'!BT281)),6)</f>
        <v>8871.86</v>
      </c>
      <c r="AG171">
        <f t="shared" si="98"/>
        <v>0</v>
      </c>
      <c r="AH171">
        <f>(SUM(SmtRes!BU273:'SmtRes'!BU281))</f>
        <v>18.5</v>
      </c>
      <c r="AI171">
        <f>(SUM(SmtRes!BV273:'SmtRes'!BV281))</f>
        <v>0.46</v>
      </c>
      <c r="AJ171">
        <f t="shared" si="99"/>
        <v>0</v>
      </c>
      <c r="AK171">
        <v>12262.699000000001</v>
      </c>
      <c r="AL171">
        <v>2583.433</v>
      </c>
      <c r="AM171">
        <v>543.02330000000006</v>
      </c>
      <c r="AN171">
        <v>264.3827</v>
      </c>
      <c r="AO171">
        <v>8871.86</v>
      </c>
      <c r="AP171">
        <v>0</v>
      </c>
      <c r="AQ171">
        <v>18.5</v>
      </c>
      <c r="AR171">
        <v>0.46</v>
      </c>
      <c r="AS171">
        <v>0</v>
      </c>
      <c r="AT171">
        <v>97</v>
      </c>
      <c r="AU171">
        <v>51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2</v>
      </c>
      <c r="BJ171" t="s">
        <v>261</v>
      </c>
      <c r="BM171">
        <v>108001</v>
      </c>
      <c r="BN171">
        <v>0</v>
      </c>
      <c r="BO171" t="s">
        <v>3</v>
      </c>
      <c r="BP171">
        <v>0</v>
      </c>
      <c r="BQ171">
        <v>3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97</v>
      </c>
      <c r="CA171">
        <v>51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00"/>
        <v>5341.58</v>
      </c>
      <c r="CQ171">
        <f>SUMIF(SmtRes!AQ273:'SmtRes'!AQ281,"=1",SmtRes!AA273:'SmtRes'!AA281)</f>
        <v>62442.159999999996</v>
      </c>
      <c r="CR171">
        <f>SUMIF(SmtRes!AQ273:'SmtRes'!AQ281,"=1",SmtRes!AB273:'SmtRes'!AB281)</f>
        <v>2155.7900000000004</v>
      </c>
      <c r="CS171">
        <f>SUMIF(SmtRes!AQ273:'SmtRes'!AQ281,"=1",SmtRes!AC273:'SmtRes'!AC281)</f>
        <v>1149.49</v>
      </c>
      <c r="CT171">
        <f>SUMIF(SmtRes!AQ273:'SmtRes'!AQ281,"=1",SmtRes!AD273:'SmtRes'!AD281)</f>
        <v>479.56</v>
      </c>
      <c r="CU171">
        <f t="shared" si="101"/>
        <v>0</v>
      </c>
      <c r="CV171">
        <f>SUMIF(SmtRes!AQ273:'SmtRes'!AQ281,"=1",SmtRes!BU273:'SmtRes'!BU281)</f>
        <v>18.5</v>
      </c>
      <c r="CW171">
        <f>SUMIF(SmtRes!AQ273:'SmtRes'!AQ281,"=1",SmtRes!BV273:'SmtRes'!BV281)</f>
        <v>0.46</v>
      </c>
      <c r="CX171">
        <f t="shared" si="102"/>
        <v>0</v>
      </c>
      <c r="CY171">
        <f t="shared" si="103"/>
        <v>3722.1033999999995</v>
      </c>
      <c r="CZ171">
        <f t="shared" si="104"/>
        <v>1956.9821999999999</v>
      </c>
      <c r="DC171" t="s">
        <v>3</v>
      </c>
      <c r="DD171" t="s">
        <v>3</v>
      </c>
      <c r="DE171" t="s">
        <v>3</v>
      </c>
      <c r="DF171" t="s">
        <v>3</v>
      </c>
      <c r="DG171" t="s">
        <v>3</v>
      </c>
      <c r="DH171" t="s">
        <v>3</v>
      </c>
      <c r="DI171" t="s">
        <v>3</v>
      </c>
      <c r="DJ171" t="s">
        <v>3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1003</v>
      </c>
      <c r="DV171" t="s">
        <v>260</v>
      </c>
      <c r="DW171" t="s">
        <v>260</v>
      </c>
      <c r="DX171">
        <v>100</v>
      </c>
      <c r="DZ171" t="s">
        <v>3</v>
      </c>
      <c r="EA171" t="s">
        <v>3</v>
      </c>
      <c r="EB171" t="s">
        <v>3</v>
      </c>
      <c r="EC171" t="s">
        <v>3</v>
      </c>
      <c r="EE171">
        <v>64850885</v>
      </c>
      <c r="EF171">
        <v>3</v>
      </c>
      <c r="EG171" t="s">
        <v>224</v>
      </c>
      <c r="EH171">
        <v>0</v>
      </c>
      <c r="EI171" t="s">
        <v>3</v>
      </c>
      <c r="EJ171">
        <v>2</v>
      </c>
      <c r="EK171">
        <v>108001</v>
      </c>
      <c r="EL171" t="s">
        <v>225</v>
      </c>
      <c r="EM171" t="s">
        <v>226</v>
      </c>
      <c r="EO171" t="s">
        <v>3</v>
      </c>
      <c r="EQ171">
        <v>0</v>
      </c>
      <c r="ER171">
        <v>0</v>
      </c>
      <c r="ES171">
        <v>0</v>
      </c>
      <c r="ET171">
        <v>0</v>
      </c>
      <c r="EU171">
        <v>0</v>
      </c>
      <c r="EV171">
        <v>0</v>
      </c>
      <c r="EW171">
        <v>18.5</v>
      </c>
      <c r="EX171">
        <v>0.46</v>
      </c>
      <c r="EY171">
        <v>0</v>
      </c>
      <c r="FQ171">
        <v>0</v>
      </c>
      <c r="FR171">
        <f t="shared" si="105"/>
        <v>0</v>
      </c>
      <c r="FS171">
        <v>0</v>
      </c>
      <c r="FX171">
        <v>97</v>
      </c>
      <c r="FY171">
        <v>51</v>
      </c>
      <c r="GA171" t="s">
        <v>3</v>
      </c>
      <c r="GD171">
        <v>1</v>
      </c>
      <c r="GF171">
        <v>-736549301</v>
      </c>
      <c r="GG171">
        <v>2</v>
      </c>
      <c r="GH171">
        <v>1</v>
      </c>
      <c r="GI171">
        <v>-2</v>
      </c>
      <c r="GJ171">
        <v>0</v>
      </c>
      <c r="GK171">
        <v>0</v>
      </c>
      <c r="GL171">
        <f t="shared" si="106"/>
        <v>0</v>
      </c>
      <c r="GM171">
        <f t="shared" si="107"/>
        <v>11020.66</v>
      </c>
      <c r="GN171">
        <f t="shared" si="108"/>
        <v>0</v>
      </c>
      <c r="GO171">
        <f t="shared" si="109"/>
        <v>11020.66</v>
      </c>
      <c r="GP171">
        <f t="shared" si="110"/>
        <v>0</v>
      </c>
      <c r="GR171">
        <v>0</v>
      </c>
      <c r="GS171">
        <v>0</v>
      </c>
      <c r="GT171">
        <v>0</v>
      </c>
      <c r="GU171" t="s">
        <v>3</v>
      </c>
      <c r="GV171">
        <f t="shared" si="111"/>
        <v>0</v>
      </c>
      <c r="GW171">
        <v>1</v>
      </c>
      <c r="GX171">
        <f t="shared" si="112"/>
        <v>0</v>
      </c>
      <c r="HA171">
        <v>0</v>
      </c>
      <c r="HB171">
        <v>0</v>
      </c>
      <c r="HC171">
        <f t="shared" si="113"/>
        <v>0</v>
      </c>
      <c r="HE171" t="s">
        <v>3</v>
      </c>
      <c r="HF171" t="s">
        <v>3</v>
      </c>
      <c r="HM171" t="s">
        <v>3</v>
      </c>
      <c r="HN171" t="s">
        <v>228</v>
      </c>
      <c r="HO171" t="s">
        <v>229</v>
      </c>
      <c r="HP171" t="s">
        <v>225</v>
      </c>
      <c r="HQ171" t="s">
        <v>225</v>
      </c>
      <c r="IK171">
        <v>0</v>
      </c>
    </row>
    <row r="172" spans="1:245" x14ac:dyDescent="0.2">
      <c r="A172">
        <v>17</v>
      </c>
      <c r="B172">
        <v>1</v>
      </c>
      <c r="C172">
        <f>ROW(SmtRes!A289)</f>
        <v>289</v>
      </c>
      <c r="D172">
        <f>ROW(EtalonRes!A298)</f>
        <v>298</v>
      </c>
      <c r="E172" t="s">
        <v>286</v>
      </c>
      <c r="F172" t="s">
        <v>287</v>
      </c>
      <c r="G172" t="s">
        <v>288</v>
      </c>
      <c r="H172" t="s">
        <v>260</v>
      </c>
      <c r="I172">
        <f>ROUND(10/100,7)</f>
        <v>0.1</v>
      </c>
      <c r="J172">
        <v>0</v>
      </c>
      <c r="K172">
        <f>ROUND(10/100,7)</f>
        <v>0.1</v>
      </c>
      <c r="O172">
        <f t="shared" si="92"/>
        <v>1257.43</v>
      </c>
      <c r="P172">
        <f>SUMIF(SmtRes!AQ282:'SmtRes'!AQ289,"=1",SmtRes!DF282:'SmtRes'!DF289)</f>
        <v>306.87</v>
      </c>
      <c r="Q172">
        <f>SUMIF(SmtRes!AQ282:'SmtRes'!AQ289,"=1",SmtRes!DG282:'SmtRes'!DG289)</f>
        <v>43.830000000000005</v>
      </c>
      <c r="R172">
        <f>SUMIF(SmtRes!AQ282:'SmtRes'!AQ289,"=1",SmtRes!DH282:'SmtRes'!DH289)</f>
        <v>19.54</v>
      </c>
      <c r="S172">
        <f>SUMIF(SmtRes!AQ282:'SmtRes'!AQ289,"=1",SmtRes!DI282:'SmtRes'!DI289)</f>
        <v>887.19</v>
      </c>
      <c r="T172">
        <f t="shared" si="93"/>
        <v>0</v>
      </c>
      <c r="U172">
        <f>SUMIF(SmtRes!AQ282:'SmtRes'!AQ289,"=1",SmtRes!CV282:'SmtRes'!CV289)</f>
        <v>1.85</v>
      </c>
      <c r="V172">
        <f>SUMIF(SmtRes!AQ282:'SmtRes'!AQ289,"=1",SmtRes!CW282:'SmtRes'!CW289)</f>
        <v>3.4000000000000002E-2</v>
      </c>
      <c r="W172">
        <f t="shared" si="94"/>
        <v>0</v>
      </c>
      <c r="X172">
        <f t="shared" si="95"/>
        <v>879.53</v>
      </c>
      <c r="Y172">
        <f t="shared" si="96"/>
        <v>462.43</v>
      </c>
      <c r="AA172">
        <v>65170852</v>
      </c>
      <c r="AB172">
        <f t="shared" si="97"/>
        <v>11905.4737</v>
      </c>
      <c r="AC172">
        <f>ROUND((SUM(SmtRes!BQ282:'SmtRes'!BQ289)),6)</f>
        <v>2612.337</v>
      </c>
      <c r="AD172">
        <f>ROUND((((SUM(SmtRes!BR282:'SmtRes'!BR289))-(SUM(SmtRes!BS282:'SmtRes'!BS289)))+AE172),6)</f>
        <v>421.27670000000001</v>
      </c>
      <c r="AE172">
        <f>ROUND((SUM(SmtRes!BS282:'SmtRes'!BS289)),6)</f>
        <v>195.41329999999999</v>
      </c>
      <c r="AF172">
        <f>ROUND((SUM(SmtRes!BT282:'SmtRes'!BT289)),6)</f>
        <v>8871.86</v>
      </c>
      <c r="AG172">
        <f t="shared" si="98"/>
        <v>0</v>
      </c>
      <c r="AH172">
        <f>(SUM(SmtRes!BU282:'SmtRes'!BU289))</f>
        <v>18.5</v>
      </c>
      <c r="AI172">
        <f>(SUM(SmtRes!BV282:'SmtRes'!BV289))</f>
        <v>0.34</v>
      </c>
      <c r="AJ172">
        <f t="shared" si="99"/>
        <v>0</v>
      </c>
      <c r="AK172">
        <v>12100.887000000001</v>
      </c>
      <c r="AL172">
        <v>2612.3369999999995</v>
      </c>
      <c r="AM172">
        <v>421.27670000000001</v>
      </c>
      <c r="AN172">
        <v>195.41330000000002</v>
      </c>
      <c r="AO172">
        <v>8871.86</v>
      </c>
      <c r="AP172">
        <v>0</v>
      </c>
      <c r="AQ172">
        <v>18.5</v>
      </c>
      <c r="AR172">
        <v>0.34</v>
      </c>
      <c r="AS172">
        <v>0</v>
      </c>
      <c r="AT172">
        <v>97</v>
      </c>
      <c r="AU172">
        <v>51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2</v>
      </c>
      <c r="BJ172" t="s">
        <v>289</v>
      </c>
      <c r="BM172">
        <v>108001</v>
      </c>
      <c r="BN172">
        <v>0</v>
      </c>
      <c r="BO172" t="s">
        <v>3</v>
      </c>
      <c r="BP172">
        <v>0</v>
      </c>
      <c r="BQ172">
        <v>3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97</v>
      </c>
      <c r="CA172">
        <v>51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00"/>
        <v>1257.43</v>
      </c>
      <c r="CQ172">
        <f>SUMIF(SmtRes!AQ282:'SmtRes'!AQ289,"=1",SmtRes!AA282:'SmtRes'!AA289)</f>
        <v>62442.159999999996</v>
      </c>
      <c r="CR172">
        <f>SUMIF(SmtRes!AQ282:'SmtRes'!AQ289,"=1",SmtRes!AB282:'SmtRes'!AB289)</f>
        <v>2155.7900000000004</v>
      </c>
      <c r="CS172">
        <f>SUMIF(SmtRes!AQ282:'SmtRes'!AQ289,"=1",SmtRes!AC282:'SmtRes'!AC289)</f>
        <v>1149.49</v>
      </c>
      <c r="CT172">
        <f>SUMIF(SmtRes!AQ282:'SmtRes'!AQ289,"=1",SmtRes!AD282:'SmtRes'!AD289)</f>
        <v>479.56</v>
      </c>
      <c r="CU172">
        <f t="shared" si="101"/>
        <v>0</v>
      </c>
      <c r="CV172">
        <f>SUMIF(SmtRes!AQ282:'SmtRes'!AQ289,"=1",SmtRes!BU282:'SmtRes'!BU289)</f>
        <v>18.5</v>
      </c>
      <c r="CW172">
        <f>SUMIF(SmtRes!AQ282:'SmtRes'!AQ289,"=1",SmtRes!BV282:'SmtRes'!BV289)</f>
        <v>0.34</v>
      </c>
      <c r="CX172">
        <f t="shared" si="102"/>
        <v>0</v>
      </c>
      <c r="CY172">
        <f t="shared" si="103"/>
        <v>879.52809999999999</v>
      </c>
      <c r="CZ172">
        <f t="shared" si="104"/>
        <v>462.43230000000005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1003</v>
      </c>
      <c r="DV172" t="s">
        <v>260</v>
      </c>
      <c r="DW172" t="s">
        <v>260</v>
      </c>
      <c r="DX172">
        <v>100</v>
      </c>
      <c r="DZ172" t="s">
        <v>3</v>
      </c>
      <c r="EA172" t="s">
        <v>3</v>
      </c>
      <c r="EB172" t="s">
        <v>3</v>
      </c>
      <c r="EC172" t="s">
        <v>3</v>
      </c>
      <c r="EE172">
        <v>64850885</v>
      </c>
      <c r="EF172">
        <v>3</v>
      </c>
      <c r="EG172" t="s">
        <v>224</v>
      </c>
      <c r="EH172">
        <v>0</v>
      </c>
      <c r="EI172" t="s">
        <v>3</v>
      </c>
      <c r="EJ172">
        <v>2</v>
      </c>
      <c r="EK172">
        <v>108001</v>
      </c>
      <c r="EL172" t="s">
        <v>225</v>
      </c>
      <c r="EM172" t="s">
        <v>226</v>
      </c>
      <c r="EO172" t="s">
        <v>3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18.5</v>
      </c>
      <c r="EX172">
        <v>0.34</v>
      </c>
      <c r="EY172">
        <v>0</v>
      </c>
      <c r="FQ172">
        <v>0</v>
      </c>
      <c r="FR172">
        <f t="shared" si="105"/>
        <v>0</v>
      </c>
      <c r="FS172">
        <v>0</v>
      </c>
      <c r="FX172">
        <v>97</v>
      </c>
      <c r="FY172">
        <v>51</v>
      </c>
      <c r="GA172" t="s">
        <v>3</v>
      </c>
      <c r="GD172">
        <v>1</v>
      </c>
      <c r="GF172">
        <v>1065382272</v>
      </c>
      <c r="GG172">
        <v>2</v>
      </c>
      <c r="GH172">
        <v>1</v>
      </c>
      <c r="GI172">
        <v>-2</v>
      </c>
      <c r="GJ172">
        <v>0</v>
      </c>
      <c r="GK172">
        <v>0</v>
      </c>
      <c r="GL172">
        <f t="shared" si="106"/>
        <v>0</v>
      </c>
      <c r="GM172">
        <f t="shared" si="107"/>
        <v>2599.39</v>
      </c>
      <c r="GN172">
        <f t="shared" si="108"/>
        <v>0</v>
      </c>
      <c r="GO172">
        <f t="shared" si="109"/>
        <v>2599.39</v>
      </c>
      <c r="GP172">
        <f t="shared" si="110"/>
        <v>0</v>
      </c>
      <c r="GR172">
        <v>0</v>
      </c>
      <c r="GS172">
        <v>0</v>
      </c>
      <c r="GT172">
        <v>0</v>
      </c>
      <c r="GU172" t="s">
        <v>3</v>
      </c>
      <c r="GV172">
        <f t="shared" si="111"/>
        <v>0</v>
      </c>
      <c r="GW172">
        <v>1</v>
      </c>
      <c r="GX172">
        <f t="shared" si="112"/>
        <v>0</v>
      </c>
      <c r="HA172">
        <v>0</v>
      </c>
      <c r="HB172">
        <v>0</v>
      </c>
      <c r="HC172">
        <f t="shared" si="113"/>
        <v>0</v>
      </c>
      <c r="HE172" t="s">
        <v>3</v>
      </c>
      <c r="HF172" t="s">
        <v>3</v>
      </c>
      <c r="HM172" t="s">
        <v>3</v>
      </c>
      <c r="HN172" t="s">
        <v>228</v>
      </c>
      <c r="HO172" t="s">
        <v>229</v>
      </c>
      <c r="HP172" t="s">
        <v>225</v>
      </c>
      <c r="HQ172" t="s">
        <v>225</v>
      </c>
      <c r="IK172">
        <v>0</v>
      </c>
    </row>
    <row r="174" spans="1:245" x14ac:dyDescent="0.2">
      <c r="A174" s="2">
        <v>51</v>
      </c>
      <c r="B174" s="2">
        <f>B159</f>
        <v>1</v>
      </c>
      <c r="C174" s="2">
        <f>A159</f>
        <v>4</v>
      </c>
      <c r="D174" s="2">
        <f>ROW(A159)</f>
        <v>159</v>
      </c>
      <c r="E174" s="2"/>
      <c r="F174" s="2" t="str">
        <f>IF(F159&lt;&gt;"",F159,"")</f>
        <v>Новый раздел</v>
      </c>
      <c r="G174" s="2" t="str">
        <f>IF(G159&lt;&gt;"",G159,"")</f>
        <v>Монтажные работы</v>
      </c>
      <c r="H174" s="2">
        <v>0</v>
      </c>
      <c r="I174" s="2"/>
      <c r="J174" s="2"/>
      <c r="K174" s="2"/>
      <c r="L174" s="2"/>
      <c r="M174" s="2"/>
      <c r="N174" s="2"/>
      <c r="O174" s="2">
        <f t="shared" ref="O174:T174" si="114">ROUND(AB174,2)</f>
        <v>95592.6</v>
      </c>
      <c r="P174" s="2">
        <f t="shared" si="114"/>
        <v>15589.75</v>
      </c>
      <c r="Q174" s="2">
        <f t="shared" si="114"/>
        <v>19449.689999999999</v>
      </c>
      <c r="R174" s="2">
        <f t="shared" si="114"/>
        <v>9167.2099999999991</v>
      </c>
      <c r="S174" s="2">
        <f t="shared" si="114"/>
        <v>51385.95</v>
      </c>
      <c r="T174" s="2">
        <f t="shared" si="114"/>
        <v>0</v>
      </c>
      <c r="U174" s="2">
        <f>AH174</f>
        <v>104.33479999999997</v>
      </c>
      <c r="V174" s="2">
        <f>AI174</f>
        <v>14.934800000000001</v>
      </c>
      <c r="W174" s="2">
        <f>ROUND(AJ174,2)</f>
        <v>0</v>
      </c>
      <c r="X174" s="2">
        <f>ROUND(AK174,2)</f>
        <v>59030.07</v>
      </c>
      <c r="Y174" s="2">
        <f>ROUND(AL174,2)</f>
        <v>31322.39</v>
      </c>
      <c r="Z174" s="2"/>
      <c r="AA174" s="2"/>
      <c r="AB174" s="2">
        <f>ROUND(SUMIF(AA163:AA172,"=65170852",O163:O172),2)</f>
        <v>95592.6</v>
      </c>
      <c r="AC174" s="2">
        <f>ROUND(SUMIF(AA163:AA172,"=65170852",P163:P172),2)</f>
        <v>15589.75</v>
      </c>
      <c r="AD174" s="2">
        <f>ROUND(SUMIF(AA163:AA172,"=65170852",Q163:Q172),2)</f>
        <v>19449.689999999999</v>
      </c>
      <c r="AE174" s="2">
        <f>ROUND(SUMIF(AA163:AA172,"=65170852",R163:R172),2)</f>
        <v>9167.2099999999991</v>
      </c>
      <c r="AF174" s="2">
        <f>ROUND(SUMIF(AA163:AA172,"=65170852",S163:S172),2)</f>
        <v>51385.95</v>
      </c>
      <c r="AG174" s="2">
        <f>ROUND(SUMIF(AA163:AA172,"=65170852",T163:T172),2)</f>
        <v>0</v>
      </c>
      <c r="AH174" s="2">
        <f>SUMIF(AA163:AA172,"=65170852",U163:U172)</f>
        <v>104.33479999999997</v>
      </c>
      <c r="AI174" s="2">
        <f>SUMIF(AA163:AA172,"=65170852",V163:V172)</f>
        <v>14.934800000000001</v>
      </c>
      <c r="AJ174" s="2">
        <f>ROUND(SUMIF(AA163:AA172,"=65170852",W163:W172),2)</f>
        <v>0</v>
      </c>
      <c r="AK174" s="2">
        <f>ROUND(SUMIF(AA163:AA172,"=65170852",X163:X172),2)</f>
        <v>59030.07</v>
      </c>
      <c r="AL174" s="2">
        <f>ROUND(SUMIF(AA163:AA172,"=65170852",Y163:Y172),2)</f>
        <v>31322.39</v>
      </c>
      <c r="AM174" s="2"/>
      <c r="AN174" s="2"/>
      <c r="AO174" s="2">
        <f t="shared" ref="AO174:BD174" si="115">ROUND(BX174,2)</f>
        <v>0</v>
      </c>
      <c r="AP174" s="2">
        <f t="shared" si="115"/>
        <v>0</v>
      </c>
      <c r="AQ174" s="2">
        <f t="shared" si="115"/>
        <v>0</v>
      </c>
      <c r="AR174" s="2">
        <f t="shared" si="115"/>
        <v>185945.06</v>
      </c>
      <c r="AS174" s="2">
        <f t="shared" si="115"/>
        <v>14183.86</v>
      </c>
      <c r="AT174" s="2">
        <f t="shared" si="115"/>
        <v>171761.2</v>
      </c>
      <c r="AU174" s="2">
        <f t="shared" si="115"/>
        <v>0</v>
      </c>
      <c r="AV174" s="2">
        <f t="shared" si="115"/>
        <v>15589.75</v>
      </c>
      <c r="AW174" s="2">
        <f t="shared" si="115"/>
        <v>15589.75</v>
      </c>
      <c r="AX174" s="2">
        <f t="shared" si="115"/>
        <v>0</v>
      </c>
      <c r="AY174" s="2">
        <f t="shared" si="115"/>
        <v>15589.75</v>
      </c>
      <c r="AZ174" s="2">
        <f t="shared" si="115"/>
        <v>0</v>
      </c>
      <c r="BA174" s="2">
        <f t="shared" si="115"/>
        <v>0</v>
      </c>
      <c r="BB174" s="2">
        <f t="shared" si="115"/>
        <v>0</v>
      </c>
      <c r="BC174" s="2">
        <f t="shared" si="115"/>
        <v>0</v>
      </c>
      <c r="BD174" s="2">
        <f t="shared" si="115"/>
        <v>0</v>
      </c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>
        <f>ROUND(SUMIF(AA163:AA172,"=65170852",FQ163:FQ172),2)</f>
        <v>0</v>
      </c>
      <c r="BY174" s="2">
        <f>ROUND(SUMIF(AA163:AA172,"=65170852",FR163:FR172),2)</f>
        <v>0</v>
      </c>
      <c r="BZ174" s="2">
        <f>ROUND(SUMIF(AA163:AA172,"=65170852",GL163:GL172),2)</f>
        <v>0</v>
      </c>
      <c r="CA174" s="2">
        <f>ROUND(SUMIF(AA163:AA172,"=65170852",GM163:GM172),2)</f>
        <v>185945.06</v>
      </c>
      <c r="CB174" s="2">
        <f>ROUND(SUMIF(AA163:AA172,"=65170852",GN163:GN172),2)</f>
        <v>14183.86</v>
      </c>
      <c r="CC174" s="2">
        <f>ROUND(SUMIF(AA163:AA172,"=65170852",GO163:GO172),2)</f>
        <v>171761.2</v>
      </c>
      <c r="CD174" s="2">
        <f>ROUND(SUMIF(AA163:AA172,"=65170852",GP163:GP172),2)</f>
        <v>0</v>
      </c>
      <c r="CE174" s="2">
        <f>AC174-BX174</f>
        <v>15589.75</v>
      </c>
      <c r="CF174" s="2">
        <f>AC174-BY174</f>
        <v>15589.75</v>
      </c>
      <c r="CG174" s="2">
        <f>BX174-BZ174</f>
        <v>0</v>
      </c>
      <c r="CH174" s="2">
        <f>AC174-BX174-BY174+BZ174</f>
        <v>15589.75</v>
      </c>
      <c r="CI174" s="2">
        <f>BY174-BZ174</f>
        <v>0</v>
      </c>
      <c r="CJ174" s="2">
        <f>ROUND(SUMIF(AA163:AA172,"=65170852",GX163:GX172),2)</f>
        <v>0</v>
      </c>
      <c r="CK174" s="2">
        <f>ROUND(SUMIF(AA163:AA172,"=65170852",GY163:GY172),2)</f>
        <v>0</v>
      </c>
      <c r="CL174" s="2">
        <f>ROUND(SUMIF(AA163:AA172,"=65170852",GZ163:GZ172),2)</f>
        <v>0</v>
      </c>
      <c r="CM174" s="2">
        <f>ROUND(SUMIF(AA163:AA172,"=65170852",HD163:HD172),2)</f>
        <v>0</v>
      </c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>
        <v>0</v>
      </c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201</v>
      </c>
      <c r="F176" s="4">
        <f>ROUND(Source!O174,O176)</f>
        <v>95592.6</v>
      </c>
      <c r="G176" s="4" t="s">
        <v>16</v>
      </c>
      <c r="H176" s="4" t="s">
        <v>17</v>
      </c>
      <c r="I176" s="4"/>
      <c r="J176" s="4"/>
      <c r="K176" s="4">
        <v>201</v>
      </c>
      <c r="L176" s="4">
        <v>1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95592.60000000002</v>
      </c>
      <c r="X176" s="4">
        <v>1</v>
      </c>
      <c r="Y176" s="4">
        <v>95592.60000000002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202</v>
      </c>
      <c r="F177" s="4">
        <f>ROUND(Source!P174,O177)</f>
        <v>15589.75</v>
      </c>
      <c r="G177" s="4" t="s">
        <v>18</v>
      </c>
      <c r="H177" s="4" t="s">
        <v>19</v>
      </c>
      <c r="I177" s="4"/>
      <c r="J177" s="4"/>
      <c r="K177" s="4">
        <v>202</v>
      </c>
      <c r="L177" s="4">
        <v>2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15589.75</v>
      </c>
      <c r="X177" s="4">
        <v>1</v>
      </c>
      <c r="Y177" s="4">
        <v>15589.75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222</v>
      </c>
      <c r="F178" s="4">
        <f>ROUND(Source!AO174,O178)</f>
        <v>0</v>
      </c>
      <c r="G178" s="4" t="s">
        <v>20</v>
      </c>
      <c r="H178" s="4" t="s">
        <v>21</v>
      </c>
      <c r="I178" s="4"/>
      <c r="J178" s="4"/>
      <c r="K178" s="4">
        <v>222</v>
      </c>
      <c r="L178" s="4">
        <v>3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225</v>
      </c>
      <c r="F179" s="4">
        <f>ROUND(Source!AV174,O179)</f>
        <v>15589.75</v>
      </c>
      <c r="G179" s="4" t="s">
        <v>22</v>
      </c>
      <c r="H179" s="4" t="s">
        <v>23</v>
      </c>
      <c r="I179" s="4"/>
      <c r="J179" s="4"/>
      <c r="K179" s="4">
        <v>225</v>
      </c>
      <c r="L179" s="4">
        <v>4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15589.75</v>
      </c>
      <c r="X179" s="4">
        <v>1</v>
      </c>
      <c r="Y179" s="4">
        <v>15589.75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226</v>
      </c>
      <c r="F180" s="4">
        <f>ROUND(Source!AW174,O180)</f>
        <v>15589.75</v>
      </c>
      <c r="G180" s="4" t="s">
        <v>24</v>
      </c>
      <c r="H180" s="4" t="s">
        <v>25</v>
      </c>
      <c r="I180" s="4"/>
      <c r="J180" s="4"/>
      <c r="K180" s="4">
        <v>226</v>
      </c>
      <c r="L180" s="4">
        <v>5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15589.75</v>
      </c>
      <c r="X180" s="4">
        <v>1</v>
      </c>
      <c r="Y180" s="4">
        <v>15589.75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227</v>
      </c>
      <c r="F181" s="4">
        <f>ROUND(Source!AX174,O181)</f>
        <v>0</v>
      </c>
      <c r="G181" s="4" t="s">
        <v>26</v>
      </c>
      <c r="H181" s="4" t="s">
        <v>27</v>
      </c>
      <c r="I181" s="4"/>
      <c r="J181" s="4"/>
      <c r="K181" s="4">
        <v>227</v>
      </c>
      <c r="L181" s="4">
        <v>6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228</v>
      </c>
      <c r="F182" s="4">
        <f>ROUND(Source!AY174,O182)</f>
        <v>15589.75</v>
      </c>
      <c r="G182" s="4" t="s">
        <v>28</v>
      </c>
      <c r="H182" s="4" t="s">
        <v>29</v>
      </c>
      <c r="I182" s="4"/>
      <c r="J182" s="4"/>
      <c r="K182" s="4">
        <v>228</v>
      </c>
      <c r="L182" s="4">
        <v>7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15589.75</v>
      </c>
      <c r="X182" s="4">
        <v>1</v>
      </c>
      <c r="Y182" s="4">
        <v>15589.75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216</v>
      </c>
      <c r="F183" s="4">
        <f>ROUND(Source!AP174,O183)</f>
        <v>0</v>
      </c>
      <c r="G183" s="4" t="s">
        <v>30</v>
      </c>
      <c r="H183" s="4" t="s">
        <v>31</v>
      </c>
      <c r="I183" s="4"/>
      <c r="J183" s="4"/>
      <c r="K183" s="4">
        <v>216</v>
      </c>
      <c r="L183" s="4">
        <v>8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223</v>
      </c>
      <c r="F184" s="4">
        <f>ROUND(Source!AQ174,O184)</f>
        <v>0</v>
      </c>
      <c r="G184" s="4" t="s">
        <v>32</v>
      </c>
      <c r="H184" s="4" t="s">
        <v>33</v>
      </c>
      <c r="I184" s="4"/>
      <c r="J184" s="4"/>
      <c r="K184" s="4">
        <v>223</v>
      </c>
      <c r="L184" s="4">
        <v>9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229</v>
      </c>
      <c r="F185" s="4">
        <f>ROUND(Source!AZ174,O185)</f>
        <v>0</v>
      </c>
      <c r="G185" s="4" t="s">
        <v>34</v>
      </c>
      <c r="H185" s="4" t="s">
        <v>35</v>
      </c>
      <c r="I185" s="4"/>
      <c r="J185" s="4"/>
      <c r="K185" s="4">
        <v>229</v>
      </c>
      <c r="L185" s="4">
        <v>10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203</v>
      </c>
      <c r="F186" s="4">
        <f>ROUND(Source!Q174,O186)</f>
        <v>19449.689999999999</v>
      </c>
      <c r="G186" s="4" t="s">
        <v>36</v>
      </c>
      <c r="H186" s="4" t="s">
        <v>37</v>
      </c>
      <c r="I186" s="4"/>
      <c r="J186" s="4"/>
      <c r="K186" s="4">
        <v>203</v>
      </c>
      <c r="L186" s="4">
        <v>11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19449.689999999999</v>
      </c>
      <c r="X186" s="4">
        <v>1</v>
      </c>
      <c r="Y186" s="4">
        <v>19449.689999999999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231</v>
      </c>
      <c r="F187" s="4">
        <f>ROUND(Source!BB174,O187)</f>
        <v>0</v>
      </c>
      <c r="G187" s="4" t="s">
        <v>38</v>
      </c>
      <c r="H187" s="4" t="s">
        <v>39</v>
      </c>
      <c r="I187" s="4"/>
      <c r="J187" s="4"/>
      <c r="K187" s="4">
        <v>231</v>
      </c>
      <c r="L187" s="4">
        <v>12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204</v>
      </c>
      <c r="F188" s="4">
        <f>ROUND(Source!R174,O188)</f>
        <v>9167.2099999999991</v>
      </c>
      <c r="G188" s="4" t="s">
        <v>40</v>
      </c>
      <c r="H188" s="4" t="s">
        <v>41</v>
      </c>
      <c r="I188" s="4"/>
      <c r="J188" s="4"/>
      <c r="K188" s="4">
        <v>204</v>
      </c>
      <c r="L188" s="4">
        <v>13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9167.2100000000009</v>
      </c>
      <c r="X188" s="4">
        <v>1</v>
      </c>
      <c r="Y188" s="4">
        <v>9167.2100000000009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205</v>
      </c>
      <c r="F189" s="4">
        <f>ROUND(Source!S174,O189)</f>
        <v>51385.95</v>
      </c>
      <c r="G189" s="4" t="s">
        <v>42</v>
      </c>
      <c r="H189" s="4" t="s">
        <v>43</v>
      </c>
      <c r="I189" s="4"/>
      <c r="J189" s="4"/>
      <c r="K189" s="4">
        <v>205</v>
      </c>
      <c r="L189" s="4">
        <v>14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51385.950000000012</v>
      </c>
      <c r="X189" s="4">
        <v>1</v>
      </c>
      <c r="Y189" s="4">
        <v>51385.950000000012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232</v>
      </c>
      <c r="F190" s="4">
        <f>ROUND(Source!BC174,O190)</f>
        <v>0</v>
      </c>
      <c r="G190" s="4" t="s">
        <v>44</v>
      </c>
      <c r="H190" s="4" t="s">
        <v>45</v>
      </c>
      <c r="I190" s="4"/>
      <c r="J190" s="4"/>
      <c r="K190" s="4">
        <v>232</v>
      </c>
      <c r="L190" s="4">
        <v>15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214</v>
      </c>
      <c r="F191" s="4">
        <f>ROUND(Source!AS174,O191)</f>
        <v>14183.86</v>
      </c>
      <c r="G191" s="4" t="s">
        <v>46</v>
      </c>
      <c r="H191" s="4" t="s">
        <v>47</v>
      </c>
      <c r="I191" s="4"/>
      <c r="J191" s="4"/>
      <c r="K191" s="4">
        <v>214</v>
      </c>
      <c r="L191" s="4">
        <v>16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14183.86</v>
      </c>
      <c r="X191" s="4">
        <v>1</v>
      </c>
      <c r="Y191" s="4">
        <v>14183.86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215</v>
      </c>
      <c r="F192" s="4">
        <f>ROUND(Source!AT174,O192)</f>
        <v>171761.2</v>
      </c>
      <c r="G192" s="4" t="s">
        <v>48</v>
      </c>
      <c r="H192" s="4" t="s">
        <v>49</v>
      </c>
      <c r="I192" s="4"/>
      <c r="J192" s="4"/>
      <c r="K192" s="4">
        <v>215</v>
      </c>
      <c r="L192" s="4">
        <v>17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171761.2</v>
      </c>
      <c r="X192" s="4">
        <v>1</v>
      </c>
      <c r="Y192" s="4">
        <v>171761.2</v>
      </c>
      <c r="Z192" s="4"/>
      <c r="AA192" s="4"/>
      <c r="AB192" s="4"/>
    </row>
    <row r="193" spans="1:245" x14ac:dyDescent="0.2">
      <c r="A193" s="4">
        <v>50</v>
      </c>
      <c r="B193" s="4">
        <v>0</v>
      </c>
      <c r="C193" s="4">
        <v>0</v>
      </c>
      <c r="D193" s="4">
        <v>1</v>
      </c>
      <c r="E193" s="4">
        <v>217</v>
      </c>
      <c r="F193" s="4">
        <f>ROUND(Source!AU174,O193)</f>
        <v>0</v>
      </c>
      <c r="G193" s="4" t="s">
        <v>50</v>
      </c>
      <c r="H193" s="4" t="s">
        <v>51</v>
      </c>
      <c r="I193" s="4"/>
      <c r="J193" s="4"/>
      <c r="K193" s="4">
        <v>217</v>
      </c>
      <c r="L193" s="4">
        <v>18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45" x14ac:dyDescent="0.2">
      <c r="A194" s="4">
        <v>50</v>
      </c>
      <c r="B194" s="4">
        <v>0</v>
      </c>
      <c r="C194" s="4">
        <v>0</v>
      </c>
      <c r="D194" s="4">
        <v>1</v>
      </c>
      <c r="E194" s="4">
        <v>230</v>
      </c>
      <c r="F194" s="4">
        <f>ROUND(Source!BA174,O194)</f>
        <v>0</v>
      </c>
      <c r="G194" s="4" t="s">
        <v>52</v>
      </c>
      <c r="H194" s="4" t="s">
        <v>53</v>
      </c>
      <c r="I194" s="4"/>
      <c r="J194" s="4"/>
      <c r="K194" s="4">
        <v>230</v>
      </c>
      <c r="L194" s="4">
        <v>19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45" x14ac:dyDescent="0.2">
      <c r="A195" s="4">
        <v>50</v>
      </c>
      <c r="B195" s="4">
        <v>0</v>
      </c>
      <c r="C195" s="4">
        <v>0</v>
      </c>
      <c r="D195" s="4">
        <v>1</v>
      </c>
      <c r="E195" s="4">
        <v>206</v>
      </c>
      <c r="F195" s="4">
        <f>ROUND(Source!T174,O195)</f>
        <v>0</v>
      </c>
      <c r="G195" s="4" t="s">
        <v>54</v>
      </c>
      <c r="H195" s="4" t="s">
        <v>55</v>
      </c>
      <c r="I195" s="4"/>
      <c r="J195" s="4"/>
      <c r="K195" s="4">
        <v>206</v>
      </c>
      <c r="L195" s="4">
        <v>20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45" x14ac:dyDescent="0.2">
      <c r="A196" s="4">
        <v>50</v>
      </c>
      <c r="B196" s="4">
        <v>0</v>
      </c>
      <c r="C196" s="4">
        <v>0</v>
      </c>
      <c r="D196" s="4">
        <v>1</v>
      </c>
      <c r="E196" s="4">
        <v>207</v>
      </c>
      <c r="F196" s="4">
        <f>ROUND(Source!U174,O196)</f>
        <v>104.3348</v>
      </c>
      <c r="G196" s="4" t="s">
        <v>56</v>
      </c>
      <c r="H196" s="4" t="s">
        <v>57</v>
      </c>
      <c r="I196" s="4"/>
      <c r="J196" s="4"/>
      <c r="K196" s="4">
        <v>207</v>
      </c>
      <c r="L196" s="4">
        <v>21</v>
      </c>
      <c r="M196" s="4">
        <v>3</v>
      </c>
      <c r="N196" s="4" t="s">
        <v>3</v>
      </c>
      <c r="O196" s="4">
        <v>7</v>
      </c>
      <c r="P196" s="4"/>
      <c r="Q196" s="4"/>
      <c r="R196" s="4"/>
      <c r="S196" s="4"/>
      <c r="T196" s="4"/>
      <c r="U196" s="4"/>
      <c r="V196" s="4"/>
      <c r="W196" s="4">
        <v>104.3348</v>
      </c>
      <c r="X196" s="4">
        <v>1</v>
      </c>
      <c r="Y196" s="4">
        <v>104.3348</v>
      </c>
      <c r="Z196" s="4"/>
      <c r="AA196" s="4"/>
      <c r="AB196" s="4"/>
    </row>
    <row r="197" spans="1:245" x14ac:dyDescent="0.2">
      <c r="A197" s="4">
        <v>50</v>
      </c>
      <c r="B197" s="4">
        <v>0</v>
      </c>
      <c r="C197" s="4">
        <v>0</v>
      </c>
      <c r="D197" s="4">
        <v>1</v>
      </c>
      <c r="E197" s="4">
        <v>208</v>
      </c>
      <c r="F197" s="4">
        <f>ROUND(Source!V174,O197)</f>
        <v>14.934799999999999</v>
      </c>
      <c r="G197" s="4" t="s">
        <v>58</v>
      </c>
      <c r="H197" s="4" t="s">
        <v>59</v>
      </c>
      <c r="I197" s="4"/>
      <c r="J197" s="4"/>
      <c r="K197" s="4">
        <v>208</v>
      </c>
      <c r="L197" s="4">
        <v>22</v>
      </c>
      <c r="M197" s="4">
        <v>3</v>
      </c>
      <c r="N197" s="4" t="s">
        <v>3</v>
      </c>
      <c r="O197" s="4">
        <v>7</v>
      </c>
      <c r="P197" s="4"/>
      <c r="Q197" s="4"/>
      <c r="R197" s="4"/>
      <c r="S197" s="4"/>
      <c r="T197" s="4"/>
      <c r="U197" s="4"/>
      <c r="V197" s="4"/>
      <c r="W197" s="4">
        <v>14.934799999999999</v>
      </c>
      <c r="X197" s="4">
        <v>1</v>
      </c>
      <c r="Y197" s="4">
        <v>14.934799999999999</v>
      </c>
      <c r="Z197" s="4"/>
      <c r="AA197" s="4"/>
      <c r="AB197" s="4"/>
    </row>
    <row r="198" spans="1:245" x14ac:dyDescent="0.2">
      <c r="A198" s="4">
        <v>50</v>
      </c>
      <c r="B198" s="4">
        <v>0</v>
      </c>
      <c r="C198" s="4">
        <v>0</v>
      </c>
      <c r="D198" s="4">
        <v>1</v>
      </c>
      <c r="E198" s="4">
        <v>209</v>
      </c>
      <c r="F198" s="4">
        <f>ROUND(Source!W174,O198)</f>
        <v>0</v>
      </c>
      <c r="G198" s="4" t="s">
        <v>60</v>
      </c>
      <c r="H198" s="4" t="s">
        <v>61</v>
      </c>
      <c r="I198" s="4"/>
      <c r="J198" s="4"/>
      <c r="K198" s="4">
        <v>209</v>
      </c>
      <c r="L198" s="4">
        <v>23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233</v>
      </c>
      <c r="F199" s="4">
        <f>ROUND(Source!BD174,O199)</f>
        <v>0</v>
      </c>
      <c r="G199" s="4" t="s">
        <v>62</v>
      </c>
      <c r="H199" s="4" t="s">
        <v>63</v>
      </c>
      <c r="I199" s="4"/>
      <c r="J199" s="4"/>
      <c r="K199" s="4">
        <v>233</v>
      </c>
      <c r="L199" s="4">
        <v>24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45" x14ac:dyDescent="0.2">
      <c r="A200" s="4">
        <v>50</v>
      </c>
      <c r="B200" s="4">
        <v>0</v>
      </c>
      <c r="C200" s="4">
        <v>0</v>
      </c>
      <c r="D200" s="4">
        <v>1</v>
      </c>
      <c r="E200" s="4">
        <v>210</v>
      </c>
      <c r="F200" s="4">
        <f>ROUND(Source!X174,O200)</f>
        <v>59030.07</v>
      </c>
      <c r="G200" s="4" t="s">
        <v>64</v>
      </c>
      <c r="H200" s="4" t="s">
        <v>65</v>
      </c>
      <c r="I200" s="4"/>
      <c r="J200" s="4"/>
      <c r="K200" s="4">
        <v>210</v>
      </c>
      <c r="L200" s="4">
        <v>25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59030.07</v>
      </c>
      <c r="X200" s="4">
        <v>1</v>
      </c>
      <c r="Y200" s="4">
        <v>59030.07</v>
      </c>
      <c r="Z200" s="4"/>
      <c r="AA200" s="4"/>
      <c r="AB200" s="4"/>
    </row>
    <row r="201" spans="1:245" x14ac:dyDescent="0.2">
      <c r="A201" s="4">
        <v>50</v>
      </c>
      <c r="B201" s="4">
        <v>0</v>
      </c>
      <c r="C201" s="4">
        <v>0</v>
      </c>
      <c r="D201" s="4">
        <v>1</v>
      </c>
      <c r="E201" s="4">
        <v>211</v>
      </c>
      <c r="F201" s="4">
        <f>ROUND(Source!Y174,O201)</f>
        <v>31322.39</v>
      </c>
      <c r="G201" s="4" t="s">
        <v>66</v>
      </c>
      <c r="H201" s="4" t="s">
        <v>67</v>
      </c>
      <c r="I201" s="4"/>
      <c r="J201" s="4"/>
      <c r="K201" s="4">
        <v>211</v>
      </c>
      <c r="L201" s="4">
        <v>26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31322.39</v>
      </c>
      <c r="X201" s="4">
        <v>1</v>
      </c>
      <c r="Y201" s="4">
        <v>31322.39</v>
      </c>
      <c r="Z201" s="4"/>
      <c r="AA201" s="4"/>
      <c r="AB201" s="4"/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224</v>
      </c>
      <c r="F202" s="4">
        <f>ROUND(Source!AR174,O202)</f>
        <v>185945.06</v>
      </c>
      <c r="G202" s="4" t="s">
        <v>68</v>
      </c>
      <c r="H202" s="4" t="s">
        <v>69</v>
      </c>
      <c r="I202" s="4"/>
      <c r="J202" s="4"/>
      <c r="K202" s="4">
        <v>224</v>
      </c>
      <c r="L202" s="4">
        <v>27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185945.06</v>
      </c>
      <c r="X202" s="4">
        <v>1</v>
      </c>
      <c r="Y202" s="4">
        <v>185945.06</v>
      </c>
      <c r="Z202" s="4"/>
      <c r="AA202" s="4"/>
      <c r="AB202" s="4"/>
    </row>
    <row r="204" spans="1:245" x14ac:dyDescent="0.2">
      <c r="A204" s="1">
        <v>4</v>
      </c>
      <c r="B204" s="1">
        <v>1</v>
      </c>
      <c r="C204" s="1"/>
      <c r="D204" s="1">
        <f>ROW(A218)</f>
        <v>218</v>
      </c>
      <c r="E204" s="1"/>
      <c r="F204" s="1" t="s">
        <v>71</v>
      </c>
      <c r="G204" s="1" t="s">
        <v>290</v>
      </c>
      <c r="H204" s="1" t="s">
        <v>3</v>
      </c>
      <c r="I204" s="1">
        <v>0</v>
      </c>
      <c r="J204" s="1"/>
      <c r="K204" s="1">
        <v>0</v>
      </c>
      <c r="L204" s="1"/>
      <c r="M204" s="1" t="s">
        <v>3</v>
      </c>
      <c r="N204" s="1"/>
      <c r="O204" s="1"/>
      <c r="P204" s="1"/>
      <c r="Q204" s="1"/>
      <c r="R204" s="1"/>
      <c r="S204" s="1">
        <v>0</v>
      </c>
      <c r="T204" s="1"/>
      <c r="U204" s="1" t="s">
        <v>3</v>
      </c>
      <c r="V204" s="1">
        <v>0</v>
      </c>
      <c r="W204" s="1"/>
      <c r="X204" s="1"/>
      <c r="Y204" s="1"/>
      <c r="Z204" s="1"/>
      <c r="AA204" s="1"/>
      <c r="AB204" s="1" t="s">
        <v>3</v>
      </c>
      <c r="AC204" s="1" t="s">
        <v>3</v>
      </c>
      <c r="AD204" s="1" t="s">
        <v>3</v>
      </c>
      <c r="AE204" s="1" t="s">
        <v>3</v>
      </c>
      <c r="AF204" s="1" t="s">
        <v>3</v>
      </c>
      <c r="AG204" s="1" t="s">
        <v>3</v>
      </c>
      <c r="AH204" s="1"/>
      <c r="AI204" s="1"/>
      <c r="AJ204" s="1"/>
      <c r="AK204" s="1"/>
      <c r="AL204" s="1"/>
      <c r="AM204" s="1"/>
      <c r="AN204" s="1"/>
      <c r="AO204" s="1"/>
      <c r="AP204" s="1" t="s">
        <v>3</v>
      </c>
      <c r="AQ204" s="1" t="s">
        <v>3</v>
      </c>
      <c r="AR204" s="1" t="s">
        <v>3</v>
      </c>
      <c r="AS204" s="1"/>
      <c r="AT204" s="1"/>
      <c r="AU204" s="1"/>
      <c r="AV204" s="1"/>
      <c r="AW204" s="1"/>
      <c r="AX204" s="1"/>
      <c r="AY204" s="1"/>
      <c r="AZ204" s="1" t="s">
        <v>3</v>
      </c>
      <c r="BA204" s="1"/>
      <c r="BB204" s="1" t="s">
        <v>3</v>
      </c>
      <c r="BC204" s="1" t="s">
        <v>3</v>
      </c>
      <c r="BD204" s="1" t="s">
        <v>3</v>
      </c>
      <c r="BE204" s="1" t="s">
        <v>3</v>
      </c>
      <c r="BF204" s="1" t="s">
        <v>3</v>
      </c>
      <c r="BG204" s="1" t="s">
        <v>3</v>
      </c>
      <c r="BH204" s="1" t="s">
        <v>3</v>
      </c>
      <c r="BI204" s="1" t="s">
        <v>3</v>
      </c>
      <c r="BJ204" s="1" t="s">
        <v>3</v>
      </c>
      <c r="BK204" s="1" t="s">
        <v>3</v>
      </c>
      <c r="BL204" s="1" t="s">
        <v>3</v>
      </c>
      <c r="BM204" s="1" t="s">
        <v>3</v>
      </c>
      <c r="BN204" s="1" t="s">
        <v>3</v>
      </c>
      <c r="BO204" s="1" t="s">
        <v>3</v>
      </c>
      <c r="BP204" s="1" t="s">
        <v>3</v>
      </c>
      <c r="BQ204" s="1"/>
      <c r="BR204" s="1"/>
      <c r="BS204" s="1"/>
      <c r="BT204" s="1"/>
      <c r="BU204" s="1"/>
      <c r="BV204" s="1"/>
      <c r="BW204" s="1"/>
      <c r="BX204" s="1">
        <v>0</v>
      </c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>
        <v>0</v>
      </c>
    </row>
    <row r="206" spans="1:245" x14ac:dyDescent="0.2">
      <c r="A206" s="2">
        <v>52</v>
      </c>
      <c r="B206" s="2">
        <f t="shared" ref="B206:G206" si="116">B218</f>
        <v>1</v>
      </c>
      <c r="C206" s="2">
        <f t="shared" si="116"/>
        <v>4</v>
      </c>
      <c r="D206" s="2">
        <f t="shared" si="116"/>
        <v>204</v>
      </c>
      <c r="E206" s="2">
        <f t="shared" si="116"/>
        <v>0</v>
      </c>
      <c r="F206" s="2" t="str">
        <f t="shared" si="116"/>
        <v>Новый раздел</v>
      </c>
      <c r="G206" s="2" t="str">
        <f t="shared" si="116"/>
        <v>Материалы не учтенные ценником</v>
      </c>
      <c r="H206" s="2"/>
      <c r="I206" s="2"/>
      <c r="J206" s="2"/>
      <c r="K206" s="2"/>
      <c r="L206" s="2"/>
      <c r="M206" s="2"/>
      <c r="N206" s="2"/>
      <c r="O206" s="2">
        <f t="shared" ref="O206:AT206" si="117">O218</f>
        <v>68945.899999999994</v>
      </c>
      <c r="P206" s="2">
        <f t="shared" si="117"/>
        <v>68945.899999999994</v>
      </c>
      <c r="Q206" s="2">
        <f t="shared" si="117"/>
        <v>0</v>
      </c>
      <c r="R206" s="2">
        <f t="shared" si="117"/>
        <v>0</v>
      </c>
      <c r="S206" s="2">
        <f t="shared" si="117"/>
        <v>0</v>
      </c>
      <c r="T206" s="2">
        <f t="shared" si="117"/>
        <v>0</v>
      </c>
      <c r="U206" s="2">
        <f t="shared" si="117"/>
        <v>0</v>
      </c>
      <c r="V206" s="2">
        <f t="shared" si="117"/>
        <v>0</v>
      </c>
      <c r="W206" s="2">
        <f t="shared" si="117"/>
        <v>0</v>
      </c>
      <c r="X206" s="2">
        <f t="shared" si="117"/>
        <v>0</v>
      </c>
      <c r="Y206" s="2">
        <f t="shared" si="117"/>
        <v>0</v>
      </c>
      <c r="Z206" s="2">
        <f t="shared" si="117"/>
        <v>0</v>
      </c>
      <c r="AA206" s="2">
        <f t="shared" si="117"/>
        <v>0</v>
      </c>
      <c r="AB206" s="2">
        <f t="shared" si="117"/>
        <v>68945.899999999994</v>
      </c>
      <c r="AC206" s="2">
        <f t="shared" si="117"/>
        <v>68945.899999999994</v>
      </c>
      <c r="AD206" s="2">
        <f t="shared" si="117"/>
        <v>0</v>
      </c>
      <c r="AE206" s="2">
        <f t="shared" si="117"/>
        <v>0</v>
      </c>
      <c r="AF206" s="2">
        <f t="shared" si="117"/>
        <v>0</v>
      </c>
      <c r="AG206" s="2">
        <f t="shared" si="117"/>
        <v>0</v>
      </c>
      <c r="AH206" s="2">
        <f t="shared" si="117"/>
        <v>0</v>
      </c>
      <c r="AI206" s="2">
        <f t="shared" si="117"/>
        <v>0</v>
      </c>
      <c r="AJ206" s="2">
        <f t="shared" si="117"/>
        <v>0</v>
      </c>
      <c r="AK206" s="2">
        <f t="shared" si="117"/>
        <v>0</v>
      </c>
      <c r="AL206" s="2">
        <f t="shared" si="117"/>
        <v>0</v>
      </c>
      <c r="AM206" s="2">
        <f t="shared" si="117"/>
        <v>0</v>
      </c>
      <c r="AN206" s="2">
        <f t="shared" si="117"/>
        <v>0</v>
      </c>
      <c r="AO206" s="2">
        <f t="shared" si="117"/>
        <v>0</v>
      </c>
      <c r="AP206" s="2">
        <f t="shared" si="117"/>
        <v>0</v>
      </c>
      <c r="AQ206" s="2">
        <f t="shared" si="117"/>
        <v>0</v>
      </c>
      <c r="AR206" s="2">
        <f t="shared" si="117"/>
        <v>68945.899999999994</v>
      </c>
      <c r="AS206" s="2">
        <f t="shared" si="117"/>
        <v>61548.86</v>
      </c>
      <c r="AT206" s="2">
        <f t="shared" si="117"/>
        <v>7397.04</v>
      </c>
      <c r="AU206" s="2">
        <f t="shared" ref="AU206:BZ206" si="118">AU218</f>
        <v>0</v>
      </c>
      <c r="AV206" s="2">
        <f t="shared" si="118"/>
        <v>68945.899999999994</v>
      </c>
      <c r="AW206" s="2">
        <f t="shared" si="118"/>
        <v>68945.899999999994</v>
      </c>
      <c r="AX206" s="2">
        <f t="shared" si="118"/>
        <v>0</v>
      </c>
      <c r="AY206" s="2">
        <f t="shared" si="118"/>
        <v>68945.899999999994</v>
      </c>
      <c r="AZ206" s="2">
        <f t="shared" si="118"/>
        <v>0</v>
      </c>
      <c r="BA206" s="2">
        <f t="shared" si="118"/>
        <v>0</v>
      </c>
      <c r="BB206" s="2">
        <f t="shared" si="118"/>
        <v>0</v>
      </c>
      <c r="BC206" s="2">
        <f t="shared" si="118"/>
        <v>0</v>
      </c>
      <c r="BD206" s="2">
        <f t="shared" si="118"/>
        <v>0</v>
      </c>
      <c r="BE206" s="2">
        <f t="shared" si="118"/>
        <v>0</v>
      </c>
      <c r="BF206" s="2">
        <f t="shared" si="118"/>
        <v>0</v>
      </c>
      <c r="BG206" s="2">
        <f t="shared" si="118"/>
        <v>0</v>
      </c>
      <c r="BH206" s="2">
        <f t="shared" si="118"/>
        <v>0</v>
      </c>
      <c r="BI206" s="2">
        <f t="shared" si="118"/>
        <v>0</v>
      </c>
      <c r="BJ206" s="2">
        <f t="shared" si="118"/>
        <v>0</v>
      </c>
      <c r="BK206" s="2">
        <f t="shared" si="118"/>
        <v>0</v>
      </c>
      <c r="BL206" s="2">
        <f t="shared" si="118"/>
        <v>0</v>
      </c>
      <c r="BM206" s="2">
        <f t="shared" si="118"/>
        <v>0</v>
      </c>
      <c r="BN206" s="2">
        <f t="shared" si="118"/>
        <v>0</v>
      </c>
      <c r="BO206" s="2">
        <f t="shared" si="118"/>
        <v>0</v>
      </c>
      <c r="BP206" s="2">
        <f t="shared" si="118"/>
        <v>0</v>
      </c>
      <c r="BQ206" s="2">
        <f t="shared" si="118"/>
        <v>0</v>
      </c>
      <c r="BR206" s="2">
        <f t="shared" si="118"/>
        <v>0</v>
      </c>
      <c r="BS206" s="2">
        <f t="shared" si="118"/>
        <v>0</v>
      </c>
      <c r="BT206" s="2">
        <f t="shared" si="118"/>
        <v>0</v>
      </c>
      <c r="BU206" s="2">
        <f t="shared" si="118"/>
        <v>0</v>
      </c>
      <c r="BV206" s="2">
        <f t="shared" si="118"/>
        <v>0</v>
      </c>
      <c r="BW206" s="2">
        <f t="shared" si="118"/>
        <v>0</v>
      </c>
      <c r="BX206" s="2">
        <f t="shared" si="118"/>
        <v>0</v>
      </c>
      <c r="BY206" s="2">
        <f t="shared" si="118"/>
        <v>0</v>
      </c>
      <c r="BZ206" s="2">
        <f t="shared" si="118"/>
        <v>0</v>
      </c>
      <c r="CA206" s="2">
        <f t="shared" ref="CA206:DF206" si="119">CA218</f>
        <v>68945.899999999994</v>
      </c>
      <c r="CB206" s="2">
        <f t="shared" si="119"/>
        <v>61548.86</v>
      </c>
      <c r="CC206" s="2">
        <f t="shared" si="119"/>
        <v>7397.04</v>
      </c>
      <c r="CD206" s="2">
        <f t="shared" si="119"/>
        <v>0</v>
      </c>
      <c r="CE206" s="2">
        <f t="shared" si="119"/>
        <v>68945.899999999994</v>
      </c>
      <c r="CF206" s="2">
        <f t="shared" si="119"/>
        <v>68945.899999999994</v>
      </c>
      <c r="CG206" s="2">
        <f t="shared" si="119"/>
        <v>0</v>
      </c>
      <c r="CH206" s="2">
        <f t="shared" si="119"/>
        <v>68945.899999999994</v>
      </c>
      <c r="CI206" s="2">
        <f t="shared" si="119"/>
        <v>0</v>
      </c>
      <c r="CJ206" s="2">
        <f t="shared" si="119"/>
        <v>0</v>
      </c>
      <c r="CK206" s="2">
        <f t="shared" si="119"/>
        <v>0</v>
      </c>
      <c r="CL206" s="2">
        <f t="shared" si="119"/>
        <v>0</v>
      </c>
      <c r="CM206" s="2">
        <f t="shared" si="119"/>
        <v>0</v>
      </c>
      <c r="CN206" s="2">
        <f t="shared" si="119"/>
        <v>0</v>
      </c>
      <c r="CO206" s="2">
        <f t="shared" si="119"/>
        <v>0</v>
      </c>
      <c r="CP206" s="2">
        <f t="shared" si="119"/>
        <v>0</v>
      </c>
      <c r="CQ206" s="2">
        <f t="shared" si="119"/>
        <v>0</v>
      </c>
      <c r="CR206" s="2">
        <f t="shared" si="119"/>
        <v>0</v>
      </c>
      <c r="CS206" s="2">
        <f t="shared" si="119"/>
        <v>0</v>
      </c>
      <c r="CT206" s="2">
        <f t="shared" si="119"/>
        <v>0</v>
      </c>
      <c r="CU206" s="2">
        <f t="shared" si="119"/>
        <v>0</v>
      </c>
      <c r="CV206" s="2">
        <f t="shared" si="119"/>
        <v>0</v>
      </c>
      <c r="CW206" s="2">
        <f t="shared" si="119"/>
        <v>0</v>
      </c>
      <c r="CX206" s="2">
        <f t="shared" si="119"/>
        <v>0</v>
      </c>
      <c r="CY206" s="2">
        <f t="shared" si="119"/>
        <v>0</v>
      </c>
      <c r="CZ206" s="2">
        <f t="shared" si="119"/>
        <v>0</v>
      </c>
      <c r="DA206" s="2">
        <f t="shared" si="119"/>
        <v>0</v>
      </c>
      <c r="DB206" s="2">
        <f t="shared" si="119"/>
        <v>0</v>
      </c>
      <c r="DC206" s="2">
        <f t="shared" si="119"/>
        <v>0</v>
      </c>
      <c r="DD206" s="2">
        <f t="shared" si="119"/>
        <v>0</v>
      </c>
      <c r="DE206" s="2">
        <f t="shared" si="119"/>
        <v>0</v>
      </c>
      <c r="DF206" s="2">
        <f t="shared" si="119"/>
        <v>0</v>
      </c>
      <c r="DG206" s="3">
        <f t="shared" ref="DG206:EL206" si="120">DG218</f>
        <v>0</v>
      </c>
      <c r="DH206" s="3">
        <f t="shared" si="120"/>
        <v>0</v>
      </c>
      <c r="DI206" s="3">
        <f t="shared" si="120"/>
        <v>0</v>
      </c>
      <c r="DJ206" s="3">
        <f t="shared" si="120"/>
        <v>0</v>
      </c>
      <c r="DK206" s="3">
        <f t="shared" si="120"/>
        <v>0</v>
      </c>
      <c r="DL206" s="3">
        <f t="shared" si="120"/>
        <v>0</v>
      </c>
      <c r="DM206" s="3">
        <f t="shared" si="120"/>
        <v>0</v>
      </c>
      <c r="DN206" s="3">
        <f t="shared" si="120"/>
        <v>0</v>
      </c>
      <c r="DO206" s="3">
        <f t="shared" si="120"/>
        <v>0</v>
      </c>
      <c r="DP206" s="3">
        <f t="shared" si="120"/>
        <v>0</v>
      </c>
      <c r="DQ206" s="3">
        <f t="shared" si="120"/>
        <v>0</v>
      </c>
      <c r="DR206" s="3">
        <f t="shared" si="120"/>
        <v>0</v>
      </c>
      <c r="DS206" s="3">
        <f t="shared" si="120"/>
        <v>0</v>
      </c>
      <c r="DT206" s="3">
        <f t="shared" si="120"/>
        <v>0</v>
      </c>
      <c r="DU206" s="3">
        <f t="shared" si="120"/>
        <v>0</v>
      </c>
      <c r="DV206" s="3">
        <f t="shared" si="120"/>
        <v>0</v>
      </c>
      <c r="DW206" s="3">
        <f t="shared" si="120"/>
        <v>0</v>
      </c>
      <c r="DX206" s="3">
        <f t="shared" si="120"/>
        <v>0</v>
      </c>
      <c r="DY206" s="3">
        <f t="shared" si="120"/>
        <v>0</v>
      </c>
      <c r="DZ206" s="3">
        <f t="shared" si="120"/>
        <v>0</v>
      </c>
      <c r="EA206" s="3">
        <f t="shared" si="120"/>
        <v>0</v>
      </c>
      <c r="EB206" s="3">
        <f t="shared" si="120"/>
        <v>0</v>
      </c>
      <c r="EC206" s="3">
        <f t="shared" si="120"/>
        <v>0</v>
      </c>
      <c r="ED206" s="3">
        <f t="shared" si="120"/>
        <v>0</v>
      </c>
      <c r="EE206" s="3">
        <f t="shared" si="120"/>
        <v>0</v>
      </c>
      <c r="EF206" s="3">
        <f t="shared" si="120"/>
        <v>0</v>
      </c>
      <c r="EG206" s="3">
        <f t="shared" si="120"/>
        <v>0</v>
      </c>
      <c r="EH206" s="3">
        <f t="shared" si="120"/>
        <v>0</v>
      </c>
      <c r="EI206" s="3">
        <f t="shared" si="120"/>
        <v>0</v>
      </c>
      <c r="EJ206" s="3">
        <f t="shared" si="120"/>
        <v>0</v>
      </c>
      <c r="EK206" s="3">
        <f t="shared" si="120"/>
        <v>0</v>
      </c>
      <c r="EL206" s="3">
        <f t="shared" si="120"/>
        <v>0</v>
      </c>
      <c r="EM206" s="3">
        <f t="shared" ref="EM206:FR206" si="121">EM218</f>
        <v>0</v>
      </c>
      <c r="EN206" s="3">
        <f t="shared" si="121"/>
        <v>0</v>
      </c>
      <c r="EO206" s="3">
        <f t="shared" si="121"/>
        <v>0</v>
      </c>
      <c r="EP206" s="3">
        <f t="shared" si="121"/>
        <v>0</v>
      </c>
      <c r="EQ206" s="3">
        <f t="shared" si="121"/>
        <v>0</v>
      </c>
      <c r="ER206" s="3">
        <f t="shared" si="121"/>
        <v>0</v>
      </c>
      <c r="ES206" s="3">
        <f t="shared" si="121"/>
        <v>0</v>
      </c>
      <c r="ET206" s="3">
        <f t="shared" si="121"/>
        <v>0</v>
      </c>
      <c r="EU206" s="3">
        <f t="shared" si="121"/>
        <v>0</v>
      </c>
      <c r="EV206" s="3">
        <f t="shared" si="121"/>
        <v>0</v>
      </c>
      <c r="EW206" s="3">
        <f t="shared" si="121"/>
        <v>0</v>
      </c>
      <c r="EX206" s="3">
        <f t="shared" si="121"/>
        <v>0</v>
      </c>
      <c r="EY206" s="3">
        <f t="shared" si="121"/>
        <v>0</v>
      </c>
      <c r="EZ206" s="3">
        <f t="shared" si="121"/>
        <v>0</v>
      </c>
      <c r="FA206" s="3">
        <f t="shared" si="121"/>
        <v>0</v>
      </c>
      <c r="FB206" s="3">
        <f t="shared" si="121"/>
        <v>0</v>
      </c>
      <c r="FC206" s="3">
        <f t="shared" si="121"/>
        <v>0</v>
      </c>
      <c r="FD206" s="3">
        <f t="shared" si="121"/>
        <v>0</v>
      </c>
      <c r="FE206" s="3">
        <f t="shared" si="121"/>
        <v>0</v>
      </c>
      <c r="FF206" s="3">
        <f t="shared" si="121"/>
        <v>0</v>
      </c>
      <c r="FG206" s="3">
        <f t="shared" si="121"/>
        <v>0</v>
      </c>
      <c r="FH206" s="3">
        <f t="shared" si="121"/>
        <v>0</v>
      </c>
      <c r="FI206" s="3">
        <f t="shared" si="121"/>
        <v>0</v>
      </c>
      <c r="FJ206" s="3">
        <f t="shared" si="121"/>
        <v>0</v>
      </c>
      <c r="FK206" s="3">
        <f t="shared" si="121"/>
        <v>0</v>
      </c>
      <c r="FL206" s="3">
        <f t="shared" si="121"/>
        <v>0</v>
      </c>
      <c r="FM206" s="3">
        <f t="shared" si="121"/>
        <v>0</v>
      </c>
      <c r="FN206" s="3">
        <f t="shared" si="121"/>
        <v>0</v>
      </c>
      <c r="FO206" s="3">
        <f t="shared" si="121"/>
        <v>0</v>
      </c>
      <c r="FP206" s="3">
        <f t="shared" si="121"/>
        <v>0</v>
      </c>
      <c r="FQ206" s="3">
        <f t="shared" si="121"/>
        <v>0</v>
      </c>
      <c r="FR206" s="3">
        <f t="shared" si="121"/>
        <v>0</v>
      </c>
      <c r="FS206" s="3">
        <f t="shared" ref="FS206:GX206" si="122">FS218</f>
        <v>0</v>
      </c>
      <c r="FT206" s="3">
        <f t="shared" si="122"/>
        <v>0</v>
      </c>
      <c r="FU206" s="3">
        <f t="shared" si="122"/>
        <v>0</v>
      </c>
      <c r="FV206" s="3">
        <f t="shared" si="122"/>
        <v>0</v>
      </c>
      <c r="FW206" s="3">
        <f t="shared" si="122"/>
        <v>0</v>
      </c>
      <c r="FX206" s="3">
        <f t="shared" si="122"/>
        <v>0</v>
      </c>
      <c r="FY206" s="3">
        <f t="shared" si="122"/>
        <v>0</v>
      </c>
      <c r="FZ206" s="3">
        <f t="shared" si="122"/>
        <v>0</v>
      </c>
      <c r="GA206" s="3">
        <f t="shared" si="122"/>
        <v>0</v>
      </c>
      <c r="GB206" s="3">
        <f t="shared" si="122"/>
        <v>0</v>
      </c>
      <c r="GC206" s="3">
        <f t="shared" si="122"/>
        <v>0</v>
      </c>
      <c r="GD206" s="3">
        <f t="shared" si="122"/>
        <v>0</v>
      </c>
      <c r="GE206" s="3">
        <f t="shared" si="122"/>
        <v>0</v>
      </c>
      <c r="GF206" s="3">
        <f t="shared" si="122"/>
        <v>0</v>
      </c>
      <c r="GG206" s="3">
        <f t="shared" si="122"/>
        <v>0</v>
      </c>
      <c r="GH206" s="3">
        <f t="shared" si="122"/>
        <v>0</v>
      </c>
      <c r="GI206" s="3">
        <f t="shared" si="122"/>
        <v>0</v>
      </c>
      <c r="GJ206" s="3">
        <f t="shared" si="122"/>
        <v>0</v>
      </c>
      <c r="GK206" s="3">
        <f t="shared" si="122"/>
        <v>0</v>
      </c>
      <c r="GL206" s="3">
        <f t="shared" si="122"/>
        <v>0</v>
      </c>
      <c r="GM206" s="3">
        <f t="shared" si="122"/>
        <v>0</v>
      </c>
      <c r="GN206" s="3">
        <f t="shared" si="122"/>
        <v>0</v>
      </c>
      <c r="GO206" s="3">
        <f t="shared" si="122"/>
        <v>0</v>
      </c>
      <c r="GP206" s="3">
        <f t="shared" si="122"/>
        <v>0</v>
      </c>
      <c r="GQ206" s="3">
        <f t="shared" si="122"/>
        <v>0</v>
      </c>
      <c r="GR206" s="3">
        <f t="shared" si="122"/>
        <v>0</v>
      </c>
      <c r="GS206" s="3">
        <f t="shared" si="122"/>
        <v>0</v>
      </c>
      <c r="GT206" s="3">
        <f t="shared" si="122"/>
        <v>0</v>
      </c>
      <c r="GU206" s="3">
        <f t="shared" si="122"/>
        <v>0</v>
      </c>
      <c r="GV206" s="3">
        <f t="shared" si="122"/>
        <v>0</v>
      </c>
      <c r="GW206" s="3">
        <f t="shared" si="122"/>
        <v>0</v>
      </c>
      <c r="GX206" s="3">
        <f t="shared" si="122"/>
        <v>0</v>
      </c>
    </row>
    <row r="208" spans="1:245" x14ac:dyDescent="0.2">
      <c r="A208">
        <v>17</v>
      </c>
      <c r="B208">
        <v>1</v>
      </c>
      <c r="E208" t="s">
        <v>291</v>
      </c>
      <c r="F208" t="s">
        <v>292</v>
      </c>
      <c r="G208" t="s">
        <v>293</v>
      </c>
      <c r="H208" t="s">
        <v>294</v>
      </c>
      <c r="I208">
        <f>ROUND(30/1000,7)</f>
        <v>0.03</v>
      </c>
      <c r="J208">
        <v>0</v>
      </c>
      <c r="K208">
        <f>ROUND(30/1000,7)</f>
        <v>0.03</v>
      </c>
      <c r="O208">
        <f t="shared" ref="O208:O216" si="123">ROUND(CP208,2)</f>
        <v>3176.86</v>
      </c>
      <c r="P208">
        <f t="shared" ref="P208:P216" si="124">ROUND(CQ208*I208,2)</f>
        <v>3176.86</v>
      </c>
      <c r="Q208">
        <f t="shared" ref="Q208:Q216" si="125">ROUND(CR208*I208,2)</f>
        <v>0</v>
      </c>
      <c r="R208">
        <f t="shared" ref="R208:R216" si="126">ROUND(CS208*I208,2)</f>
        <v>0</v>
      </c>
      <c r="S208">
        <f t="shared" ref="S208:S216" si="127">ROUND(CT208*I208,2)</f>
        <v>0</v>
      </c>
      <c r="T208">
        <f t="shared" ref="T208:T216" si="128">ROUND(CU208*I208,2)</f>
        <v>0</v>
      </c>
      <c r="U208">
        <f t="shared" ref="U208:U216" si="129">ROUND(CV208*I208,7)</f>
        <v>0</v>
      </c>
      <c r="V208">
        <f t="shared" ref="V208:V216" si="130">ROUND(CW208*I208,7)</f>
        <v>0</v>
      </c>
      <c r="W208">
        <f t="shared" ref="W208:W216" si="131">ROUND(CX208*I208,2)</f>
        <v>0</v>
      </c>
      <c r="X208">
        <f t="shared" ref="X208:X216" si="132">ROUND(CY208,2)</f>
        <v>0</v>
      </c>
      <c r="Y208">
        <f t="shared" ref="Y208:Y216" si="133">ROUND(CZ208,2)</f>
        <v>0</v>
      </c>
      <c r="AA208">
        <v>65170852</v>
      </c>
      <c r="AB208">
        <f t="shared" ref="AB208:AB216" si="134">ROUND((AC208+AD208+AF208),6)</f>
        <v>76735.710000000006</v>
      </c>
      <c r="AC208">
        <f t="shared" ref="AC208:AC216" si="135">ROUND((ES208),6)</f>
        <v>76735.710000000006</v>
      </c>
      <c r="AD208">
        <f t="shared" ref="AD208:AD216" si="136">ROUND((((ET208)-(EU208))+AE208),6)</f>
        <v>0</v>
      </c>
      <c r="AE208">
        <f t="shared" ref="AE208:AE216" si="137">ROUND((EU208),6)</f>
        <v>0</v>
      </c>
      <c r="AF208">
        <f t="shared" ref="AF208:AF216" si="138">ROUND((EV208),6)</f>
        <v>0</v>
      </c>
      <c r="AG208">
        <f t="shared" ref="AG208:AG216" si="139">ROUND((AP208),6)</f>
        <v>0</v>
      </c>
      <c r="AH208">
        <f t="shared" ref="AH208:AH216" si="140">(EW208)</f>
        <v>0</v>
      </c>
      <c r="AI208">
        <f t="shared" ref="AI208:AI216" si="141">(EX208)</f>
        <v>0</v>
      </c>
      <c r="AJ208">
        <f t="shared" ref="AJ208:AJ216" si="142">(AS208)</f>
        <v>0</v>
      </c>
      <c r="AK208">
        <v>76735.710000000006</v>
      </c>
      <c r="AL208">
        <v>76735.710000000006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1</v>
      </c>
      <c r="AW208">
        <v>1</v>
      </c>
      <c r="AZ208">
        <v>1</v>
      </c>
      <c r="BA208">
        <v>1</v>
      </c>
      <c r="BB208">
        <v>1</v>
      </c>
      <c r="BC208">
        <v>1.38</v>
      </c>
      <c r="BD208" t="s">
        <v>3</v>
      </c>
      <c r="BE208" t="s">
        <v>3</v>
      </c>
      <c r="BF208" t="s">
        <v>3</v>
      </c>
      <c r="BG208" t="s">
        <v>3</v>
      </c>
      <c r="BH208">
        <v>3</v>
      </c>
      <c r="BI208">
        <v>2</v>
      </c>
      <c r="BJ208" t="s">
        <v>295</v>
      </c>
      <c r="BM208">
        <v>500002</v>
      </c>
      <c r="BN208">
        <v>0</v>
      </c>
      <c r="BO208" t="s">
        <v>292</v>
      </c>
      <c r="BP208">
        <v>1</v>
      </c>
      <c r="BQ208">
        <v>12</v>
      </c>
      <c r="BR208">
        <v>0</v>
      </c>
      <c r="BS208">
        <v>1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0</v>
      </c>
      <c r="CA208">
        <v>0</v>
      </c>
      <c r="CB208" t="s">
        <v>3</v>
      </c>
      <c r="CE208">
        <v>0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 t="shared" ref="CP208:CP216" si="143">(P208+Q208+S208+R208)</f>
        <v>3176.86</v>
      </c>
      <c r="CQ208">
        <f t="shared" ref="CQ208:CQ216" si="144">ROUND(AL208*BC208,2)</f>
        <v>105895.28</v>
      </c>
      <c r="CR208">
        <f t="shared" ref="CR208:CR216" si="145">ROUND(AM208*BB208,2)</f>
        <v>0</v>
      </c>
      <c r="CS208">
        <f t="shared" ref="CS208:CS216" si="146">ROUND(AN208*BS208,2)</f>
        <v>0</v>
      </c>
      <c r="CT208">
        <f t="shared" ref="CT208:CT216" si="147">ROUND(AO208*BA208,2)</f>
        <v>0</v>
      </c>
      <c r="CU208">
        <f t="shared" ref="CU208:CU216" si="148">AG208</f>
        <v>0</v>
      </c>
      <c r="CV208">
        <f t="shared" ref="CV208:CV216" si="149">AH208</f>
        <v>0</v>
      </c>
      <c r="CW208">
        <f t="shared" ref="CW208:CW216" si="150">AI208</f>
        <v>0</v>
      </c>
      <c r="CX208">
        <f t="shared" ref="CX208:CX216" si="151">AJ208</f>
        <v>0</v>
      </c>
      <c r="CY208">
        <f>0</f>
        <v>0</v>
      </c>
      <c r="CZ208">
        <f>0</f>
        <v>0</v>
      </c>
      <c r="DC208" t="s">
        <v>3</v>
      </c>
      <c r="DD208" t="s">
        <v>3</v>
      </c>
      <c r="DE208" t="s">
        <v>3</v>
      </c>
      <c r="DF208" t="s">
        <v>3</v>
      </c>
      <c r="DG208" t="s">
        <v>3</v>
      </c>
      <c r="DH208" t="s">
        <v>3</v>
      </c>
      <c r="DI208" t="s">
        <v>3</v>
      </c>
      <c r="DJ208" t="s">
        <v>3</v>
      </c>
      <c r="DK208" t="s">
        <v>3</v>
      </c>
      <c r="DL208" t="s">
        <v>3</v>
      </c>
      <c r="DM208" t="s">
        <v>3</v>
      </c>
      <c r="DN208">
        <v>0</v>
      </c>
      <c r="DO208">
        <v>0</v>
      </c>
      <c r="DP208">
        <v>1</v>
      </c>
      <c r="DQ208">
        <v>1</v>
      </c>
      <c r="DU208">
        <v>1013</v>
      </c>
      <c r="DV208" t="s">
        <v>294</v>
      </c>
      <c r="DW208" t="s">
        <v>296</v>
      </c>
      <c r="DX208">
        <v>1</v>
      </c>
      <c r="DZ208" t="s">
        <v>3</v>
      </c>
      <c r="EA208" t="s">
        <v>3</v>
      </c>
      <c r="EB208" t="s">
        <v>3</v>
      </c>
      <c r="EC208" t="s">
        <v>3</v>
      </c>
      <c r="EE208">
        <v>64850936</v>
      </c>
      <c r="EF208">
        <v>12</v>
      </c>
      <c r="EG208" t="s">
        <v>297</v>
      </c>
      <c r="EH208">
        <v>0</v>
      </c>
      <c r="EI208" t="s">
        <v>3</v>
      </c>
      <c r="EJ208">
        <v>2</v>
      </c>
      <c r="EK208">
        <v>500002</v>
      </c>
      <c r="EL208" t="s">
        <v>298</v>
      </c>
      <c r="EM208" t="s">
        <v>299</v>
      </c>
      <c r="EO208" t="s">
        <v>3</v>
      </c>
      <c r="EQ208">
        <v>0</v>
      </c>
      <c r="ER208">
        <v>76735.710000000006</v>
      </c>
      <c r="ES208">
        <v>76735.710000000006</v>
      </c>
      <c r="ET208">
        <v>0</v>
      </c>
      <c r="EU208">
        <v>0</v>
      </c>
      <c r="EV208">
        <v>0</v>
      </c>
      <c r="EW208">
        <v>0</v>
      </c>
      <c r="EX208">
        <v>0</v>
      </c>
      <c r="EY208">
        <v>0</v>
      </c>
      <c r="FQ208">
        <v>0</v>
      </c>
      <c r="FR208">
        <f t="shared" ref="FR208:FR216" si="152">ROUND(IF(BI208=3,GM208,0),2)</f>
        <v>0</v>
      </c>
      <c r="FS208">
        <v>0</v>
      </c>
      <c r="FX208">
        <v>0</v>
      </c>
      <c r="FY208">
        <v>0</v>
      </c>
      <c r="GA208" t="s">
        <v>3</v>
      </c>
      <c r="GD208">
        <v>1</v>
      </c>
      <c r="GF208">
        <v>-482650164</v>
      </c>
      <c r="GG208">
        <v>2</v>
      </c>
      <c r="GH208">
        <v>1</v>
      </c>
      <c r="GI208">
        <v>2</v>
      </c>
      <c r="GJ208">
        <v>0</v>
      </c>
      <c r="GK208">
        <v>0</v>
      </c>
      <c r="GL208">
        <f t="shared" ref="GL208:GL216" si="153">ROUND(IF(AND(BH208=3,BI208=3,FS208&lt;&gt;0),P208,0),2)</f>
        <v>0</v>
      </c>
      <c r="GM208">
        <f t="shared" ref="GM208:GM216" si="154">ROUND(O208+X208+Y208,2)+GX208</f>
        <v>3176.86</v>
      </c>
      <c r="GN208">
        <f t="shared" ref="GN208:GN216" si="155">IF(OR(BI208=0,BI208=1),GM208-GX208,0)</f>
        <v>0</v>
      </c>
      <c r="GO208">
        <f t="shared" ref="GO208:GO216" si="156">IF(BI208=2,GM208-GX208,0)</f>
        <v>3176.86</v>
      </c>
      <c r="GP208">
        <f t="shared" ref="GP208:GP216" si="157">IF(BI208=4,GM208-GX208,0)</f>
        <v>0</v>
      </c>
      <c r="GR208">
        <v>0</v>
      </c>
      <c r="GS208">
        <v>0</v>
      </c>
      <c r="GT208">
        <v>0</v>
      </c>
      <c r="GU208" t="s">
        <v>3</v>
      </c>
      <c r="GV208">
        <f t="shared" ref="GV208:GV216" si="158">ROUND((GT208),6)</f>
        <v>0</v>
      </c>
      <c r="GW208">
        <v>1</v>
      </c>
      <c r="GX208">
        <f t="shared" ref="GX208:GX216" si="159">ROUND(HC208*I208,2)</f>
        <v>0</v>
      </c>
      <c r="HA208">
        <v>0</v>
      </c>
      <c r="HB208">
        <v>0</v>
      </c>
      <c r="HC208">
        <f t="shared" ref="HC208:HC216" si="160">GV208*GW208</f>
        <v>0</v>
      </c>
      <c r="HE208" t="s">
        <v>3</v>
      </c>
      <c r="HF208" t="s">
        <v>3</v>
      </c>
      <c r="HM208" t="s">
        <v>3</v>
      </c>
      <c r="HN208" t="s">
        <v>3</v>
      </c>
      <c r="HO208" t="s">
        <v>3</v>
      </c>
      <c r="HP208" t="s">
        <v>3</v>
      </c>
      <c r="HQ208" t="s">
        <v>3</v>
      </c>
      <c r="IK208">
        <v>0</v>
      </c>
    </row>
    <row r="209" spans="1:245" x14ac:dyDescent="0.2">
      <c r="A209">
        <v>17</v>
      </c>
      <c r="B209">
        <v>1</v>
      </c>
      <c r="E209" t="s">
        <v>300</v>
      </c>
      <c r="F209" t="s">
        <v>301</v>
      </c>
      <c r="G209" t="s">
        <v>302</v>
      </c>
      <c r="H209" t="s">
        <v>220</v>
      </c>
      <c r="I209">
        <v>6</v>
      </c>
      <c r="J209">
        <v>0</v>
      </c>
      <c r="K209">
        <v>6</v>
      </c>
      <c r="O209">
        <f t="shared" si="123"/>
        <v>1129.68</v>
      </c>
      <c r="P209">
        <f t="shared" si="124"/>
        <v>1129.68</v>
      </c>
      <c r="Q209">
        <f t="shared" si="125"/>
        <v>0</v>
      </c>
      <c r="R209">
        <f t="shared" si="126"/>
        <v>0</v>
      </c>
      <c r="S209">
        <f t="shared" si="127"/>
        <v>0</v>
      </c>
      <c r="T209">
        <f t="shared" si="128"/>
        <v>0</v>
      </c>
      <c r="U209">
        <f t="shared" si="129"/>
        <v>0</v>
      </c>
      <c r="V209">
        <f t="shared" si="130"/>
        <v>0</v>
      </c>
      <c r="W209">
        <f t="shared" si="131"/>
        <v>0</v>
      </c>
      <c r="X209">
        <f t="shared" si="132"/>
        <v>0</v>
      </c>
      <c r="Y209">
        <f t="shared" si="133"/>
        <v>0</v>
      </c>
      <c r="AA209">
        <v>65170852</v>
      </c>
      <c r="AB209">
        <f t="shared" si="134"/>
        <v>149.43</v>
      </c>
      <c r="AC209">
        <f t="shared" si="135"/>
        <v>149.43</v>
      </c>
      <c r="AD209">
        <f t="shared" si="136"/>
        <v>0</v>
      </c>
      <c r="AE209">
        <f t="shared" si="137"/>
        <v>0</v>
      </c>
      <c r="AF209">
        <f t="shared" si="138"/>
        <v>0</v>
      </c>
      <c r="AG209">
        <f t="shared" si="139"/>
        <v>0</v>
      </c>
      <c r="AH209">
        <f t="shared" si="140"/>
        <v>0</v>
      </c>
      <c r="AI209">
        <f t="shared" si="141"/>
        <v>0</v>
      </c>
      <c r="AJ209">
        <f t="shared" si="142"/>
        <v>0</v>
      </c>
      <c r="AK209">
        <v>149.43</v>
      </c>
      <c r="AL209">
        <v>149.43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1</v>
      </c>
      <c r="AW209">
        <v>1</v>
      </c>
      <c r="AZ209">
        <v>1</v>
      </c>
      <c r="BA209">
        <v>1</v>
      </c>
      <c r="BB209">
        <v>1</v>
      </c>
      <c r="BC209">
        <v>1.26</v>
      </c>
      <c r="BD209" t="s">
        <v>3</v>
      </c>
      <c r="BE209" t="s">
        <v>3</v>
      </c>
      <c r="BF209" t="s">
        <v>3</v>
      </c>
      <c r="BG209" t="s">
        <v>3</v>
      </c>
      <c r="BH209">
        <v>3</v>
      </c>
      <c r="BI209">
        <v>2</v>
      </c>
      <c r="BJ209" t="s">
        <v>303</v>
      </c>
      <c r="BM209">
        <v>500002</v>
      </c>
      <c r="BN209">
        <v>0</v>
      </c>
      <c r="BO209" t="s">
        <v>301</v>
      </c>
      <c r="BP209">
        <v>1</v>
      </c>
      <c r="BQ209">
        <v>12</v>
      </c>
      <c r="BR209">
        <v>0</v>
      </c>
      <c r="BS209">
        <v>1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3</v>
      </c>
      <c r="BZ209">
        <v>0</v>
      </c>
      <c r="CA209">
        <v>0</v>
      </c>
      <c r="CB209" t="s">
        <v>3</v>
      </c>
      <c r="CE209">
        <v>0</v>
      </c>
      <c r="CF209">
        <v>0</v>
      </c>
      <c r="CG209">
        <v>0</v>
      </c>
      <c r="CM209">
        <v>0</v>
      </c>
      <c r="CN209" t="s">
        <v>3</v>
      </c>
      <c r="CO209">
        <v>0</v>
      </c>
      <c r="CP209">
        <f t="shared" si="143"/>
        <v>1129.68</v>
      </c>
      <c r="CQ209">
        <f t="shared" si="144"/>
        <v>188.28</v>
      </c>
      <c r="CR209">
        <f t="shared" si="145"/>
        <v>0</v>
      </c>
      <c r="CS209">
        <f t="shared" si="146"/>
        <v>0</v>
      </c>
      <c r="CT209">
        <f t="shared" si="147"/>
        <v>0</v>
      </c>
      <c r="CU209">
        <f t="shared" si="148"/>
        <v>0</v>
      </c>
      <c r="CV209">
        <f t="shared" si="149"/>
        <v>0</v>
      </c>
      <c r="CW209">
        <f t="shared" si="150"/>
        <v>0</v>
      </c>
      <c r="CX209">
        <f t="shared" si="151"/>
        <v>0</v>
      </c>
      <c r="CY209">
        <f>0</f>
        <v>0</v>
      </c>
      <c r="CZ209">
        <f>0</f>
        <v>0</v>
      </c>
      <c r="DC209" t="s">
        <v>3</v>
      </c>
      <c r="DD209" t="s">
        <v>3</v>
      </c>
      <c r="DE209" t="s">
        <v>3</v>
      </c>
      <c r="DF209" t="s">
        <v>3</v>
      </c>
      <c r="DG209" t="s">
        <v>3</v>
      </c>
      <c r="DH209" t="s">
        <v>3</v>
      </c>
      <c r="DI209" t="s">
        <v>3</v>
      </c>
      <c r="DJ209" t="s">
        <v>3</v>
      </c>
      <c r="DK209" t="s">
        <v>3</v>
      </c>
      <c r="DL209" t="s">
        <v>3</v>
      </c>
      <c r="DM209" t="s">
        <v>3</v>
      </c>
      <c r="DN209">
        <v>0</v>
      </c>
      <c r="DO209">
        <v>0</v>
      </c>
      <c r="DP209">
        <v>1</v>
      </c>
      <c r="DQ209">
        <v>1</v>
      </c>
      <c r="DU209">
        <v>1013</v>
      </c>
      <c r="DV209" t="s">
        <v>220</v>
      </c>
      <c r="DW209" t="s">
        <v>220</v>
      </c>
      <c r="DX209">
        <v>1</v>
      </c>
      <c r="DZ209" t="s">
        <v>3</v>
      </c>
      <c r="EA209" t="s">
        <v>3</v>
      </c>
      <c r="EB209" t="s">
        <v>3</v>
      </c>
      <c r="EC209" t="s">
        <v>3</v>
      </c>
      <c r="EE209">
        <v>64850936</v>
      </c>
      <c r="EF209">
        <v>12</v>
      </c>
      <c r="EG209" t="s">
        <v>297</v>
      </c>
      <c r="EH209">
        <v>0</v>
      </c>
      <c r="EI209" t="s">
        <v>3</v>
      </c>
      <c r="EJ209">
        <v>2</v>
      </c>
      <c r="EK209">
        <v>500002</v>
      </c>
      <c r="EL209" t="s">
        <v>298</v>
      </c>
      <c r="EM209" t="s">
        <v>299</v>
      </c>
      <c r="EO209" t="s">
        <v>3</v>
      </c>
      <c r="EQ209">
        <v>0</v>
      </c>
      <c r="ER209">
        <v>149.43</v>
      </c>
      <c r="ES209">
        <v>149.43</v>
      </c>
      <c r="ET209">
        <v>0</v>
      </c>
      <c r="EU209">
        <v>0</v>
      </c>
      <c r="EV209">
        <v>0</v>
      </c>
      <c r="EW209">
        <v>0</v>
      </c>
      <c r="EX209">
        <v>0</v>
      </c>
      <c r="EY209">
        <v>0</v>
      </c>
      <c r="FQ209">
        <v>0</v>
      </c>
      <c r="FR209">
        <f t="shared" si="152"/>
        <v>0</v>
      </c>
      <c r="FS209">
        <v>0</v>
      </c>
      <c r="FX209">
        <v>0</v>
      </c>
      <c r="FY209">
        <v>0</v>
      </c>
      <c r="GA209" t="s">
        <v>3</v>
      </c>
      <c r="GD209">
        <v>1</v>
      </c>
      <c r="GF209">
        <v>340059969</v>
      </c>
      <c r="GG209">
        <v>2</v>
      </c>
      <c r="GH209">
        <v>1</v>
      </c>
      <c r="GI209">
        <v>2</v>
      </c>
      <c r="GJ209">
        <v>0</v>
      </c>
      <c r="GK209">
        <v>0</v>
      </c>
      <c r="GL209">
        <f t="shared" si="153"/>
        <v>0</v>
      </c>
      <c r="GM209">
        <f t="shared" si="154"/>
        <v>1129.68</v>
      </c>
      <c r="GN209">
        <f t="shared" si="155"/>
        <v>0</v>
      </c>
      <c r="GO209">
        <f t="shared" si="156"/>
        <v>1129.68</v>
      </c>
      <c r="GP209">
        <f t="shared" si="157"/>
        <v>0</v>
      </c>
      <c r="GR209">
        <v>0</v>
      </c>
      <c r="GS209">
        <v>0</v>
      </c>
      <c r="GT209">
        <v>0</v>
      </c>
      <c r="GU209" t="s">
        <v>3</v>
      </c>
      <c r="GV209">
        <f t="shared" si="158"/>
        <v>0</v>
      </c>
      <c r="GW209">
        <v>1</v>
      </c>
      <c r="GX209">
        <f t="shared" si="159"/>
        <v>0</v>
      </c>
      <c r="HA209">
        <v>0</v>
      </c>
      <c r="HB209">
        <v>0</v>
      </c>
      <c r="HC209">
        <f t="shared" si="160"/>
        <v>0</v>
      </c>
      <c r="HE209" t="s">
        <v>3</v>
      </c>
      <c r="HF209" t="s">
        <v>3</v>
      </c>
      <c r="HM209" t="s">
        <v>3</v>
      </c>
      <c r="HN209" t="s">
        <v>3</v>
      </c>
      <c r="HO209" t="s">
        <v>3</v>
      </c>
      <c r="HP209" t="s">
        <v>3</v>
      </c>
      <c r="HQ209" t="s">
        <v>3</v>
      </c>
      <c r="IK209">
        <v>0</v>
      </c>
    </row>
    <row r="210" spans="1:245" x14ac:dyDescent="0.2">
      <c r="A210">
        <v>17</v>
      </c>
      <c r="B210">
        <v>1</v>
      </c>
      <c r="E210" t="s">
        <v>304</v>
      </c>
      <c r="F210" t="s">
        <v>305</v>
      </c>
      <c r="G210" t="s">
        <v>306</v>
      </c>
      <c r="H210" t="s">
        <v>220</v>
      </c>
      <c r="I210">
        <v>3</v>
      </c>
      <c r="J210">
        <v>0</v>
      </c>
      <c r="K210">
        <v>3</v>
      </c>
      <c r="O210">
        <f t="shared" si="123"/>
        <v>1337.01</v>
      </c>
      <c r="P210">
        <f t="shared" si="124"/>
        <v>1337.01</v>
      </c>
      <c r="Q210">
        <f t="shared" si="125"/>
        <v>0</v>
      </c>
      <c r="R210">
        <f t="shared" si="126"/>
        <v>0</v>
      </c>
      <c r="S210">
        <f t="shared" si="127"/>
        <v>0</v>
      </c>
      <c r="T210">
        <f t="shared" si="128"/>
        <v>0</v>
      </c>
      <c r="U210">
        <f t="shared" si="129"/>
        <v>0</v>
      </c>
      <c r="V210">
        <f t="shared" si="130"/>
        <v>0</v>
      </c>
      <c r="W210">
        <f t="shared" si="131"/>
        <v>0</v>
      </c>
      <c r="X210">
        <f t="shared" si="132"/>
        <v>0</v>
      </c>
      <c r="Y210">
        <f t="shared" si="133"/>
        <v>0</v>
      </c>
      <c r="AA210">
        <v>65170852</v>
      </c>
      <c r="AB210">
        <f t="shared" si="134"/>
        <v>445.67</v>
      </c>
      <c r="AC210">
        <f t="shared" si="135"/>
        <v>445.67</v>
      </c>
      <c r="AD210">
        <f t="shared" si="136"/>
        <v>0</v>
      </c>
      <c r="AE210">
        <f t="shared" si="137"/>
        <v>0</v>
      </c>
      <c r="AF210">
        <f t="shared" si="138"/>
        <v>0</v>
      </c>
      <c r="AG210">
        <f t="shared" si="139"/>
        <v>0</v>
      </c>
      <c r="AH210">
        <f t="shared" si="140"/>
        <v>0</v>
      </c>
      <c r="AI210">
        <f t="shared" si="141"/>
        <v>0</v>
      </c>
      <c r="AJ210">
        <f t="shared" si="142"/>
        <v>0</v>
      </c>
      <c r="AK210">
        <v>445.67</v>
      </c>
      <c r="AL210">
        <v>445.67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1</v>
      </c>
      <c r="AW210">
        <v>1</v>
      </c>
      <c r="AZ210">
        <v>1</v>
      </c>
      <c r="BA210">
        <v>1</v>
      </c>
      <c r="BB210">
        <v>1</v>
      </c>
      <c r="BC210">
        <v>1</v>
      </c>
      <c r="BD210" t="s">
        <v>3</v>
      </c>
      <c r="BE210" t="s">
        <v>3</v>
      </c>
      <c r="BF210" t="s">
        <v>3</v>
      </c>
      <c r="BG210" t="s">
        <v>3</v>
      </c>
      <c r="BH210">
        <v>3</v>
      </c>
      <c r="BI210">
        <v>1</v>
      </c>
      <c r="BJ210" t="s">
        <v>307</v>
      </c>
      <c r="BM210">
        <v>500001</v>
      </c>
      <c r="BN210">
        <v>0</v>
      </c>
      <c r="BO210" t="s">
        <v>3</v>
      </c>
      <c r="BP210">
        <v>0</v>
      </c>
      <c r="BQ210">
        <v>8</v>
      </c>
      <c r="BR210">
        <v>0</v>
      </c>
      <c r="BS210">
        <v>1</v>
      </c>
      <c r="BT210">
        <v>1</v>
      </c>
      <c r="BU210">
        <v>1</v>
      </c>
      <c r="BV210">
        <v>1</v>
      </c>
      <c r="BW210">
        <v>1</v>
      </c>
      <c r="BX210">
        <v>1</v>
      </c>
      <c r="BY210" t="s">
        <v>3</v>
      </c>
      <c r="BZ210">
        <v>0</v>
      </c>
      <c r="CA210">
        <v>0</v>
      </c>
      <c r="CB210" t="s">
        <v>3</v>
      </c>
      <c r="CE210">
        <v>0</v>
      </c>
      <c r="CF210">
        <v>0</v>
      </c>
      <c r="CG210">
        <v>0</v>
      </c>
      <c r="CM210">
        <v>0</v>
      </c>
      <c r="CN210" t="s">
        <v>3</v>
      </c>
      <c r="CO210">
        <v>0</v>
      </c>
      <c r="CP210">
        <f t="shared" si="143"/>
        <v>1337.01</v>
      </c>
      <c r="CQ210">
        <f t="shared" si="144"/>
        <v>445.67</v>
      </c>
      <c r="CR210">
        <f t="shared" si="145"/>
        <v>0</v>
      </c>
      <c r="CS210">
        <f t="shared" si="146"/>
        <v>0</v>
      </c>
      <c r="CT210">
        <f t="shared" si="147"/>
        <v>0</v>
      </c>
      <c r="CU210">
        <f t="shared" si="148"/>
        <v>0</v>
      </c>
      <c r="CV210">
        <f t="shared" si="149"/>
        <v>0</v>
      </c>
      <c r="CW210">
        <f t="shared" si="150"/>
        <v>0</v>
      </c>
      <c r="CX210">
        <f t="shared" si="151"/>
        <v>0</v>
      </c>
      <c r="CY210">
        <f>0</f>
        <v>0</v>
      </c>
      <c r="CZ210">
        <f>0</f>
        <v>0</v>
      </c>
      <c r="DC210" t="s">
        <v>3</v>
      </c>
      <c r="DD210" t="s">
        <v>3</v>
      </c>
      <c r="DE210" t="s">
        <v>3</v>
      </c>
      <c r="DF210" t="s">
        <v>3</v>
      </c>
      <c r="DG210" t="s">
        <v>3</v>
      </c>
      <c r="DH210" t="s">
        <v>3</v>
      </c>
      <c r="DI210" t="s">
        <v>3</v>
      </c>
      <c r="DJ210" t="s">
        <v>3</v>
      </c>
      <c r="DK210" t="s">
        <v>3</v>
      </c>
      <c r="DL210" t="s">
        <v>3</v>
      </c>
      <c r="DM210" t="s">
        <v>3</v>
      </c>
      <c r="DN210">
        <v>0</v>
      </c>
      <c r="DO210">
        <v>0</v>
      </c>
      <c r="DP210">
        <v>1</v>
      </c>
      <c r="DQ210">
        <v>1</v>
      </c>
      <c r="DU210">
        <v>1013</v>
      </c>
      <c r="DV210" t="s">
        <v>220</v>
      </c>
      <c r="DW210" t="s">
        <v>220</v>
      </c>
      <c r="DX210">
        <v>1</v>
      </c>
      <c r="DZ210" t="s">
        <v>3</v>
      </c>
      <c r="EA210" t="s">
        <v>3</v>
      </c>
      <c r="EB210" t="s">
        <v>3</v>
      </c>
      <c r="EC210" t="s">
        <v>3</v>
      </c>
      <c r="EE210">
        <v>64850935</v>
      </c>
      <c r="EF210">
        <v>8</v>
      </c>
      <c r="EG210" t="s">
        <v>308</v>
      </c>
      <c r="EH210">
        <v>0</v>
      </c>
      <c r="EI210" t="s">
        <v>3</v>
      </c>
      <c r="EJ210">
        <v>1</v>
      </c>
      <c r="EK210">
        <v>500001</v>
      </c>
      <c r="EL210" t="s">
        <v>309</v>
      </c>
      <c r="EM210" t="s">
        <v>310</v>
      </c>
      <c r="EO210" t="s">
        <v>3</v>
      </c>
      <c r="EQ210">
        <v>0</v>
      </c>
      <c r="ER210">
        <v>445.67</v>
      </c>
      <c r="ES210">
        <v>445.67</v>
      </c>
      <c r="ET210">
        <v>0</v>
      </c>
      <c r="EU210">
        <v>0</v>
      </c>
      <c r="EV210">
        <v>0</v>
      </c>
      <c r="EW210">
        <v>0</v>
      </c>
      <c r="EX210">
        <v>0</v>
      </c>
      <c r="EY210">
        <v>0</v>
      </c>
      <c r="FQ210">
        <v>0</v>
      </c>
      <c r="FR210">
        <f t="shared" si="152"/>
        <v>0</v>
      </c>
      <c r="FS210">
        <v>0</v>
      </c>
      <c r="FX210">
        <v>0</v>
      </c>
      <c r="FY210">
        <v>0</v>
      </c>
      <c r="GA210" t="s">
        <v>3</v>
      </c>
      <c r="GD210">
        <v>1</v>
      </c>
      <c r="GF210">
        <v>-686879685</v>
      </c>
      <c r="GG210">
        <v>2</v>
      </c>
      <c r="GH210">
        <v>1</v>
      </c>
      <c r="GI210">
        <v>-2</v>
      </c>
      <c r="GJ210">
        <v>0</v>
      </c>
      <c r="GK210">
        <v>0</v>
      </c>
      <c r="GL210">
        <f t="shared" si="153"/>
        <v>0</v>
      </c>
      <c r="GM210">
        <f t="shared" si="154"/>
        <v>1337.01</v>
      </c>
      <c r="GN210">
        <f t="shared" si="155"/>
        <v>1337.01</v>
      </c>
      <c r="GO210">
        <f t="shared" si="156"/>
        <v>0</v>
      </c>
      <c r="GP210">
        <f t="shared" si="157"/>
        <v>0</v>
      </c>
      <c r="GR210">
        <v>0</v>
      </c>
      <c r="GS210">
        <v>0</v>
      </c>
      <c r="GT210">
        <v>0</v>
      </c>
      <c r="GU210" t="s">
        <v>3</v>
      </c>
      <c r="GV210">
        <f t="shared" si="158"/>
        <v>0</v>
      </c>
      <c r="GW210">
        <v>1</v>
      </c>
      <c r="GX210">
        <f t="shared" si="159"/>
        <v>0</v>
      </c>
      <c r="HA210">
        <v>0</v>
      </c>
      <c r="HB210">
        <v>0</v>
      </c>
      <c r="HC210">
        <f t="shared" si="160"/>
        <v>0</v>
      </c>
      <c r="HE210" t="s">
        <v>3</v>
      </c>
      <c r="HF210" t="s">
        <v>3</v>
      </c>
      <c r="HM210" t="s">
        <v>3</v>
      </c>
      <c r="HN210" t="s">
        <v>3</v>
      </c>
      <c r="HO210" t="s">
        <v>3</v>
      </c>
      <c r="HP210" t="s">
        <v>3</v>
      </c>
      <c r="HQ210" t="s">
        <v>3</v>
      </c>
      <c r="IK210">
        <v>0</v>
      </c>
    </row>
    <row r="211" spans="1:245" x14ac:dyDescent="0.2">
      <c r="A211">
        <v>17</v>
      </c>
      <c r="B211">
        <v>1</v>
      </c>
      <c r="E211" t="s">
        <v>311</v>
      </c>
      <c r="F211" t="s">
        <v>312</v>
      </c>
      <c r="G211" t="s">
        <v>313</v>
      </c>
      <c r="H211" t="s">
        <v>76</v>
      </c>
      <c r="I211">
        <f>ROUND(3/100,7)</f>
        <v>0.03</v>
      </c>
      <c r="J211">
        <v>0</v>
      </c>
      <c r="K211">
        <f>ROUND(3/100,7)</f>
        <v>0.03</v>
      </c>
      <c r="O211">
        <f t="shared" si="123"/>
        <v>35.590000000000003</v>
      </c>
      <c r="P211">
        <f t="shared" si="124"/>
        <v>35.590000000000003</v>
      </c>
      <c r="Q211">
        <f t="shared" si="125"/>
        <v>0</v>
      </c>
      <c r="R211">
        <f t="shared" si="126"/>
        <v>0</v>
      </c>
      <c r="S211">
        <f t="shared" si="127"/>
        <v>0</v>
      </c>
      <c r="T211">
        <f t="shared" si="128"/>
        <v>0</v>
      </c>
      <c r="U211">
        <f t="shared" si="129"/>
        <v>0</v>
      </c>
      <c r="V211">
        <f t="shared" si="130"/>
        <v>0</v>
      </c>
      <c r="W211">
        <f t="shared" si="131"/>
        <v>0</v>
      </c>
      <c r="X211">
        <f t="shared" si="132"/>
        <v>0</v>
      </c>
      <c r="Y211">
        <f t="shared" si="133"/>
        <v>0</v>
      </c>
      <c r="AA211">
        <v>65170852</v>
      </c>
      <c r="AB211">
        <f t="shared" si="134"/>
        <v>1031.73</v>
      </c>
      <c r="AC211">
        <f t="shared" si="135"/>
        <v>1031.73</v>
      </c>
      <c r="AD211">
        <f t="shared" si="136"/>
        <v>0</v>
      </c>
      <c r="AE211">
        <f t="shared" si="137"/>
        <v>0</v>
      </c>
      <c r="AF211">
        <f t="shared" si="138"/>
        <v>0</v>
      </c>
      <c r="AG211">
        <f t="shared" si="139"/>
        <v>0</v>
      </c>
      <c r="AH211">
        <f t="shared" si="140"/>
        <v>0</v>
      </c>
      <c r="AI211">
        <f t="shared" si="141"/>
        <v>0</v>
      </c>
      <c r="AJ211">
        <f t="shared" si="142"/>
        <v>0</v>
      </c>
      <c r="AK211">
        <v>1031.73</v>
      </c>
      <c r="AL211">
        <v>1031.73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1.1499999999999999</v>
      </c>
      <c r="BD211" t="s">
        <v>3</v>
      </c>
      <c r="BE211" t="s">
        <v>3</v>
      </c>
      <c r="BF211" t="s">
        <v>3</v>
      </c>
      <c r="BG211" t="s">
        <v>3</v>
      </c>
      <c r="BH211">
        <v>3</v>
      </c>
      <c r="BI211">
        <v>2</v>
      </c>
      <c r="BJ211" t="s">
        <v>314</v>
      </c>
      <c r="BM211">
        <v>500002</v>
      </c>
      <c r="BN211">
        <v>0</v>
      </c>
      <c r="BO211" t="s">
        <v>312</v>
      </c>
      <c r="BP211">
        <v>1</v>
      </c>
      <c r="BQ211">
        <v>12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0</v>
      </c>
      <c r="CA211">
        <v>0</v>
      </c>
      <c r="CB211" t="s">
        <v>3</v>
      </c>
      <c r="CE211">
        <v>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si="143"/>
        <v>35.590000000000003</v>
      </c>
      <c r="CQ211">
        <f t="shared" si="144"/>
        <v>1186.49</v>
      </c>
      <c r="CR211">
        <f t="shared" si="145"/>
        <v>0</v>
      </c>
      <c r="CS211">
        <f t="shared" si="146"/>
        <v>0</v>
      </c>
      <c r="CT211">
        <f t="shared" si="147"/>
        <v>0</v>
      </c>
      <c r="CU211">
        <f t="shared" si="148"/>
        <v>0</v>
      </c>
      <c r="CV211">
        <f t="shared" si="149"/>
        <v>0</v>
      </c>
      <c r="CW211">
        <f t="shared" si="150"/>
        <v>0</v>
      </c>
      <c r="CX211">
        <f t="shared" si="151"/>
        <v>0</v>
      </c>
      <c r="CY211">
        <f>0</f>
        <v>0</v>
      </c>
      <c r="CZ211">
        <f>0</f>
        <v>0</v>
      </c>
      <c r="DC211" t="s">
        <v>3</v>
      </c>
      <c r="DD211" t="s">
        <v>3</v>
      </c>
      <c r="DE211" t="s">
        <v>3</v>
      </c>
      <c r="DF211" t="s">
        <v>3</v>
      </c>
      <c r="DG211" t="s">
        <v>3</v>
      </c>
      <c r="DH211" t="s">
        <v>3</v>
      </c>
      <c r="DI211" t="s">
        <v>3</v>
      </c>
      <c r="DJ211" t="s">
        <v>3</v>
      </c>
      <c r="DK211" t="s">
        <v>3</v>
      </c>
      <c r="DL211" t="s">
        <v>3</v>
      </c>
      <c r="DM211" t="s">
        <v>3</v>
      </c>
      <c r="DN211">
        <v>0</v>
      </c>
      <c r="DO211">
        <v>0</v>
      </c>
      <c r="DP211">
        <v>1</v>
      </c>
      <c r="DQ211">
        <v>1</v>
      </c>
      <c r="DU211">
        <v>1013</v>
      </c>
      <c r="DV211" t="s">
        <v>76</v>
      </c>
      <c r="DW211" t="s">
        <v>76</v>
      </c>
      <c r="DX211">
        <v>1</v>
      </c>
      <c r="DZ211" t="s">
        <v>3</v>
      </c>
      <c r="EA211" t="s">
        <v>3</v>
      </c>
      <c r="EB211" t="s">
        <v>3</v>
      </c>
      <c r="EC211" t="s">
        <v>3</v>
      </c>
      <c r="EE211">
        <v>64850936</v>
      </c>
      <c r="EF211">
        <v>12</v>
      </c>
      <c r="EG211" t="s">
        <v>297</v>
      </c>
      <c r="EH211">
        <v>0</v>
      </c>
      <c r="EI211" t="s">
        <v>3</v>
      </c>
      <c r="EJ211">
        <v>2</v>
      </c>
      <c r="EK211">
        <v>500002</v>
      </c>
      <c r="EL211" t="s">
        <v>298</v>
      </c>
      <c r="EM211" t="s">
        <v>299</v>
      </c>
      <c r="EO211" t="s">
        <v>3</v>
      </c>
      <c r="EQ211">
        <v>0</v>
      </c>
      <c r="ER211">
        <v>1031.73</v>
      </c>
      <c r="ES211">
        <v>1031.73</v>
      </c>
      <c r="ET211">
        <v>0</v>
      </c>
      <c r="EU211">
        <v>0</v>
      </c>
      <c r="EV211">
        <v>0</v>
      </c>
      <c r="EW211">
        <v>0</v>
      </c>
      <c r="EX211">
        <v>0</v>
      </c>
      <c r="EY211">
        <v>0</v>
      </c>
      <c r="FQ211">
        <v>0</v>
      </c>
      <c r="FR211">
        <f t="shared" si="152"/>
        <v>0</v>
      </c>
      <c r="FS211">
        <v>0</v>
      </c>
      <c r="FX211">
        <v>0</v>
      </c>
      <c r="FY211">
        <v>0</v>
      </c>
      <c r="GA211" t="s">
        <v>3</v>
      </c>
      <c r="GD211">
        <v>1</v>
      </c>
      <c r="GF211">
        <v>359643171</v>
      </c>
      <c r="GG211">
        <v>2</v>
      </c>
      <c r="GH211">
        <v>1</v>
      </c>
      <c r="GI211">
        <v>2</v>
      </c>
      <c r="GJ211">
        <v>0</v>
      </c>
      <c r="GK211">
        <v>0</v>
      </c>
      <c r="GL211">
        <f t="shared" si="153"/>
        <v>0</v>
      </c>
      <c r="GM211">
        <f t="shared" si="154"/>
        <v>35.590000000000003</v>
      </c>
      <c r="GN211">
        <f t="shared" si="155"/>
        <v>0</v>
      </c>
      <c r="GO211">
        <f t="shared" si="156"/>
        <v>35.590000000000003</v>
      </c>
      <c r="GP211">
        <f t="shared" si="157"/>
        <v>0</v>
      </c>
      <c r="GR211">
        <v>0</v>
      </c>
      <c r="GS211">
        <v>0</v>
      </c>
      <c r="GT211">
        <v>0</v>
      </c>
      <c r="GU211" t="s">
        <v>3</v>
      </c>
      <c r="GV211">
        <f t="shared" si="158"/>
        <v>0</v>
      </c>
      <c r="GW211">
        <v>1</v>
      </c>
      <c r="GX211">
        <f t="shared" si="159"/>
        <v>0</v>
      </c>
      <c r="HA211">
        <v>0</v>
      </c>
      <c r="HB211">
        <v>0</v>
      </c>
      <c r="HC211">
        <f t="shared" si="160"/>
        <v>0</v>
      </c>
      <c r="HE211" t="s">
        <v>3</v>
      </c>
      <c r="HF211" t="s">
        <v>3</v>
      </c>
      <c r="HM211" t="s">
        <v>3</v>
      </c>
      <c r="HN211" t="s">
        <v>3</v>
      </c>
      <c r="HO211" t="s">
        <v>3</v>
      </c>
      <c r="HP211" t="s">
        <v>3</v>
      </c>
      <c r="HQ211" t="s">
        <v>3</v>
      </c>
      <c r="IK211">
        <v>0</v>
      </c>
    </row>
    <row r="212" spans="1:245" x14ac:dyDescent="0.2">
      <c r="A212">
        <v>17</v>
      </c>
      <c r="B212">
        <v>1</v>
      </c>
      <c r="E212" t="s">
        <v>315</v>
      </c>
      <c r="F212" t="s">
        <v>316</v>
      </c>
      <c r="G212" t="s">
        <v>317</v>
      </c>
      <c r="H212" t="s">
        <v>76</v>
      </c>
      <c r="I212">
        <f>ROUND(24/100,7)</f>
        <v>0.24</v>
      </c>
      <c r="J212">
        <v>0</v>
      </c>
      <c r="K212">
        <f>ROUND(24/100,7)</f>
        <v>0.24</v>
      </c>
      <c r="O212">
        <f t="shared" si="123"/>
        <v>3054.91</v>
      </c>
      <c r="P212">
        <f t="shared" si="124"/>
        <v>3054.91</v>
      </c>
      <c r="Q212">
        <f t="shared" si="125"/>
        <v>0</v>
      </c>
      <c r="R212">
        <f t="shared" si="126"/>
        <v>0</v>
      </c>
      <c r="S212">
        <f t="shared" si="127"/>
        <v>0</v>
      </c>
      <c r="T212">
        <f t="shared" si="128"/>
        <v>0</v>
      </c>
      <c r="U212">
        <f t="shared" si="129"/>
        <v>0</v>
      </c>
      <c r="V212">
        <f t="shared" si="130"/>
        <v>0</v>
      </c>
      <c r="W212">
        <f t="shared" si="131"/>
        <v>0</v>
      </c>
      <c r="X212">
        <f t="shared" si="132"/>
        <v>0</v>
      </c>
      <c r="Y212">
        <f t="shared" si="133"/>
        <v>0</v>
      </c>
      <c r="AA212">
        <v>65170852</v>
      </c>
      <c r="AB212">
        <f t="shared" si="134"/>
        <v>10102.23</v>
      </c>
      <c r="AC212">
        <f t="shared" si="135"/>
        <v>10102.23</v>
      </c>
      <c r="AD212">
        <f t="shared" si="136"/>
        <v>0</v>
      </c>
      <c r="AE212">
        <f t="shared" si="137"/>
        <v>0</v>
      </c>
      <c r="AF212">
        <f t="shared" si="138"/>
        <v>0</v>
      </c>
      <c r="AG212">
        <f t="shared" si="139"/>
        <v>0</v>
      </c>
      <c r="AH212">
        <f t="shared" si="140"/>
        <v>0</v>
      </c>
      <c r="AI212">
        <f t="shared" si="141"/>
        <v>0</v>
      </c>
      <c r="AJ212">
        <f t="shared" si="142"/>
        <v>0</v>
      </c>
      <c r="AK212">
        <v>10102.23</v>
      </c>
      <c r="AL212">
        <v>10102.23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1</v>
      </c>
      <c r="AW212">
        <v>1</v>
      </c>
      <c r="AZ212">
        <v>1</v>
      </c>
      <c r="BA212">
        <v>1</v>
      </c>
      <c r="BB212">
        <v>1</v>
      </c>
      <c r="BC212">
        <v>1.26</v>
      </c>
      <c r="BD212" t="s">
        <v>3</v>
      </c>
      <c r="BE212" t="s">
        <v>3</v>
      </c>
      <c r="BF212" t="s">
        <v>3</v>
      </c>
      <c r="BG212" t="s">
        <v>3</v>
      </c>
      <c r="BH212">
        <v>3</v>
      </c>
      <c r="BI212">
        <v>2</v>
      </c>
      <c r="BJ212" t="s">
        <v>318</v>
      </c>
      <c r="BM212">
        <v>500002</v>
      </c>
      <c r="BN212">
        <v>0</v>
      </c>
      <c r="BO212" t="s">
        <v>316</v>
      </c>
      <c r="BP212">
        <v>1</v>
      </c>
      <c r="BQ212">
        <v>12</v>
      </c>
      <c r="BR212">
        <v>0</v>
      </c>
      <c r="BS212">
        <v>1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0</v>
      </c>
      <c r="CA212">
        <v>0</v>
      </c>
      <c r="CB212" t="s">
        <v>3</v>
      </c>
      <c r="CE212">
        <v>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143"/>
        <v>3054.91</v>
      </c>
      <c r="CQ212">
        <f t="shared" si="144"/>
        <v>12728.81</v>
      </c>
      <c r="CR212">
        <f t="shared" si="145"/>
        <v>0</v>
      </c>
      <c r="CS212">
        <f t="shared" si="146"/>
        <v>0</v>
      </c>
      <c r="CT212">
        <f t="shared" si="147"/>
        <v>0</v>
      </c>
      <c r="CU212">
        <f t="shared" si="148"/>
        <v>0</v>
      </c>
      <c r="CV212">
        <f t="shared" si="149"/>
        <v>0</v>
      </c>
      <c r="CW212">
        <f t="shared" si="150"/>
        <v>0</v>
      </c>
      <c r="CX212">
        <f t="shared" si="151"/>
        <v>0</v>
      </c>
      <c r="CY212">
        <f>0</f>
        <v>0</v>
      </c>
      <c r="CZ212">
        <f>0</f>
        <v>0</v>
      </c>
      <c r="DC212" t="s">
        <v>3</v>
      </c>
      <c r="DD212" t="s">
        <v>3</v>
      </c>
      <c r="DE212" t="s">
        <v>3</v>
      </c>
      <c r="DF212" t="s">
        <v>3</v>
      </c>
      <c r="DG212" t="s">
        <v>3</v>
      </c>
      <c r="DH212" t="s">
        <v>3</v>
      </c>
      <c r="DI212" t="s">
        <v>3</v>
      </c>
      <c r="DJ212" t="s">
        <v>3</v>
      </c>
      <c r="DK212" t="s">
        <v>3</v>
      </c>
      <c r="DL212" t="s">
        <v>3</v>
      </c>
      <c r="DM212" t="s">
        <v>3</v>
      </c>
      <c r="DN212">
        <v>0</v>
      </c>
      <c r="DO212">
        <v>0</v>
      </c>
      <c r="DP212">
        <v>1</v>
      </c>
      <c r="DQ212">
        <v>1</v>
      </c>
      <c r="DU212">
        <v>1013</v>
      </c>
      <c r="DV212" t="s">
        <v>76</v>
      </c>
      <c r="DW212" t="s">
        <v>76</v>
      </c>
      <c r="DX212">
        <v>1</v>
      </c>
      <c r="DZ212" t="s">
        <v>3</v>
      </c>
      <c r="EA212" t="s">
        <v>3</v>
      </c>
      <c r="EB212" t="s">
        <v>3</v>
      </c>
      <c r="EC212" t="s">
        <v>3</v>
      </c>
      <c r="EE212">
        <v>64850936</v>
      </c>
      <c r="EF212">
        <v>12</v>
      </c>
      <c r="EG212" t="s">
        <v>297</v>
      </c>
      <c r="EH212">
        <v>0</v>
      </c>
      <c r="EI212" t="s">
        <v>3</v>
      </c>
      <c r="EJ212">
        <v>2</v>
      </c>
      <c r="EK212">
        <v>500002</v>
      </c>
      <c r="EL212" t="s">
        <v>298</v>
      </c>
      <c r="EM212" t="s">
        <v>299</v>
      </c>
      <c r="EO212" t="s">
        <v>3</v>
      </c>
      <c r="EQ212">
        <v>0</v>
      </c>
      <c r="ER212">
        <v>10102.23</v>
      </c>
      <c r="ES212">
        <v>10102.23</v>
      </c>
      <c r="ET212">
        <v>0</v>
      </c>
      <c r="EU212">
        <v>0</v>
      </c>
      <c r="EV212">
        <v>0</v>
      </c>
      <c r="EW212">
        <v>0</v>
      </c>
      <c r="EX212">
        <v>0</v>
      </c>
      <c r="EY212">
        <v>0</v>
      </c>
      <c r="FQ212">
        <v>0</v>
      </c>
      <c r="FR212">
        <f t="shared" si="152"/>
        <v>0</v>
      </c>
      <c r="FS212">
        <v>0</v>
      </c>
      <c r="FX212">
        <v>0</v>
      </c>
      <c r="FY212">
        <v>0</v>
      </c>
      <c r="GA212" t="s">
        <v>3</v>
      </c>
      <c r="GD212">
        <v>1</v>
      </c>
      <c r="GF212">
        <v>2049846380</v>
      </c>
      <c r="GG212">
        <v>2</v>
      </c>
      <c r="GH212">
        <v>1</v>
      </c>
      <c r="GI212">
        <v>2</v>
      </c>
      <c r="GJ212">
        <v>0</v>
      </c>
      <c r="GK212">
        <v>0</v>
      </c>
      <c r="GL212">
        <f t="shared" si="153"/>
        <v>0</v>
      </c>
      <c r="GM212">
        <f t="shared" si="154"/>
        <v>3054.91</v>
      </c>
      <c r="GN212">
        <f t="shared" si="155"/>
        <v>0</v>
      </c>
      <c r="GO212">
        <f t="shared" si="156"/>
        <v>3054.91</v>
      </c>
      <c r="GP212">
        <f t="shared" si="157"/>
        <v>0</v>
      </c>
      <c r="GR212">
        <v>0</v>
      </c>
      <c r="GS212">
        <v>0</v>
      </c>
      <c r="GT212">
        <v>0</v>
      </c>
      <c r="GU212" t="s">
        <v>3</v>
      </c>
      <c r="GV212">
        <f t="shared" si="158"/>
        <v>0</v>
      </c>
      <c r="GW212">
        <v>1</v>
      </c>
      <c r="GX212">
        <f t="shared" si="159"/>
        <v>0</v>
      </c>
      <c r="HA212">
        <v>0</v>
      </c>
      <c r="HB212">
        <v>0</v>
      </c>
      <c r="HC212">
        <f t="shared" si="160"/>
        <v>0</v>
      </c>
      <c r="HE212" t="s">
        <v>3</v>
      </c>
      <c r="HF212" t="s">
        <v>3</v>
      </c>
      <c r="HM212" t="s">
        <v>3</v>
      </c>
      <c r="HN212" t="s">
        <v>3</v>
      </c>
      <c r="HO212" t="s">
        <v>3</v>
      </c>
      <c r="HP212" t="s">
        <v>3</v>
      </c>
      <c r="HQ212" t="s">
        <v>3</v>
      </c>
      <c r="IK212">
        <v>0</v>
      </c>
    </row>
    <row r="213" spans="1:245" x14ac:dyDescent="0.2">
      <c r="A213">
        <v>17</v>
      </c>
      <c r="B213">
        <v>1</v>
      </c>
      <c r="E213" t="s">
        <v>319</v>
      </c>
      <c r="F213" t="s">
        <v>160</v>
      </c>
      <c r="G213" t="s">
        <v>320</v>
      </c>
      <c r="H213" t="s">
        <v>94</v>
      </c>
      <c r="I213">
        <v>0.11544</v>
      </c>
      <c r="J213">
        <v>0</v>
      </c>
      <c r="K213">
        <v>0.11544</v>
      </c>
      <c r="O213">
        <f t="shared" si="123"/>
        <v>6974.78</v>
      </c>
      <c r="P213">
        <f t="shared" si="124"/>
        <v>6974.78</v>
      </c>
      <c r="Q213">
        <f t="shared" si="125"/>
        <v>0</v>
      </c>
      <c r="R213">
        <f t="shared" si="126"/>
        <v>0</v>
      </c>
      <c r="S213">
        <f t="shared" si="127"/>
        <v>0</v>
      </c>
      <c r="T213">
        <f t="shared" si="128"/>
        <v>0</v>
      </c>
      <c r="U213">
        <f t="shared" si="129"/>
        <v>0</v>
      </c>
      <c r="V213">
        <f t="shared" si="130"/>
        <v>0</v>
      </c>
      <c r="W213">
        <f t="shared" si="131"/>
        <v>0</v>
      </c>
      <c r="X213">
        <f t="shared" si="132"/>
        <v>0</v>
      </c>
      <c r="Y213">
        <f t="shared" si="133"/>
        <v>0</v>
      </c>
      <c r="AA213">
        <v>65170852</v>
      </c>
      <c r="AB213">
        <f t="shared" si="134"/>
        <v>60419.11</v>
      </c>
      <c r="AC213">
        <f t="shared" si="135"/>
        <v>60419.11</v>
      </c>
      <c r="AD213">
        <f t="shared" si="136"/>
        <v>0</v>
      </c>
      <c r="AE213">
        <f t="shared" si="137"/>
        <v>0</v>
      </c>
      <c r="AF213">
        <f t="shared" si="138"/>
        <v>0</v>
      </c>
      <c r="AG213">
        <f t="shared" si="139"/>
        <v>0</v>
      </c>
      <c r="AH213">
        <f t="shared" si="140"/>
        <v>0</v>
      </c>
      <c r="AI213">
        <f t="shared" si="141"/>
        <v>0</v>
      </c>
      <c r="AJ213">
        <f t="shared" si="142"/>
        <v>0</v>
      </c>
      <c r="AK213">
        <v>60419.11</v>
      </c>
      <c r="AL213">
        <v>60419.11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3</v>
      </c>
      <c r="BI213">
        <v>1</v>
      </c>
      <c r="BJ213" t="s">
        <v>162</v>
      </c>
      <c r="BM213">
        <v>500001</v>
      </c>
      <c r="BN213">
        <v>0</v>
      </c>
      <c r="BO213" t="s">
        <v>3</v>
      </c>
      <c r="BP213">
        <v>0</v>
      </c>
      <c r="BQ213">
        <v>8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0</v>
      </c>
      <c r="CA213">
        <v>0</v>
      </c>
      <c r="CB213" t="s">
        <v>3</v>
      </c>
      <c r="CE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143"/>
        <v>6974.78</v>
      </c>
      <c r="CQ213">
        <f t="shared" si="144"/>
        <v>60419.11</v>
      </c>
      <c r="CR213">
        <f t="shared" si="145"/>
        <v>0</v>
      </c>
      <c r="CS213">
        <f t="shared" si="146"/>
        <v>0</v>
      </c>
      <c r="CT213">
        <f t="shared" si="147"/>
        <v>0</v>
      </c>
      <c r="CU213">
        <f t="shared" si="148"/>
        <v>0</v>
      </c>
      <c r="CV213">
        <f t="shared" si="149"/>
        <v>0</v>
      </c>
      <c r="CW213">
        <f t="shared" si="150"/>
        <v>0</v>
      </c>
      <c r="CX213">
        <f t="shared" si="151"/>
        <v>0</v>
      </c>
      <c r="CY213">
        <f>0</f>
        <v>0</v>
      </c>
      <c r="CZ213">
        <f>0</f>
        <v>0</v>
      </c>
      <c r="DC213" t="s">
        <v>3</v>
      </c>
      <c r="DD213" t="s">
        <v>3</v>
      </c>
      <c r="DE213" t="s">
        <v>3</v>
      </c>
      <c r="DF213" t="s">
        <v>3</v>
      </c>
      <c r="DG213" t="s">
        <v>3</v>
      </c>
      <c r="DH213" t="s">
        <v>3</v>
      </c>
      <c r="DI213" t="s">
        <v>3</v>
      </c>
      <c r="DJ213" t="s">
        <v>3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1009</v>
      </c>
      <c r="DV213" t="s">
        <v>94</v>
      </c>
      <c r="DW213" t="s">
        <v>94</v>
      </c>
      <c r="DX213">
        <v>1000</v>
      </c>
      <c r="DZ213" t="s">
        <v>3</v>
      </c>
      <c r="EA213" t="s">
        <v>3</v>
      </c>
      <c r="EB213" t="s">
        <v>3</v>
      </c>
      <c r="EC213" t="s">
        <v>3</v>
      </c>
      <c r="EE213">
        <v>64850935</v>
      </c>
      <c r="EF213">
        <v>8</v>
      </c>
      <c r="EG213" t="s">
        <v>308</v>
      </c>
      <c r="EH213">
        <v>0</v>
      </c>
      <c r="EI213" t="s">
        <v>3</v>
      </c>
      <c r="EJ213">
        <v>1</v>
      </c>
      <c r="EK213">
        <v>500001</v>
      </c>
      <c r="EL213" t="s">
        <v>309</v>
      </c>
      <c r="EM213" t="s">
        <v>310</v>
      </c>
      <c r="EO213" t="s">
        <v>3</v>
      </c>
      <c r="EQ213">
        <v>0</v>
      </c>
      <c r="ER213">
        <v>60419.11</v>
      </c>
      <c r="ES213">
        <v>60419.11</v>
      </c>
      <c r="ET213">
        <v>0</v>
      </c>
      <c r="EU213">
        <v>0</v>
      </c>
      <c r="EV213">
        <v>0</v>
      </c>
      <c r="EW213">
        <v>0</v>
      </c>
      <c r="EX213">
        <v>0</v>
      </c>
      <c r="EY213">
        <v>0</v>
      </c>
      <c r="FQ213">
        <v>0</v>
      </c>
      <c r="FR213">
        <f t="shared" si="152"/>
        <v>0</v>
      </c>
      <c r="FS213">
        <v>0</v>
      </c>
      <c r="FX213">
        <v>0</v>
      </c>
      <c r="FY213">
        <v>0</v>
      </c>
      <c r="GA213" t="s">
        <v>3</v>
      </c>
      <c r="GD213">
        <v>1</v>
      </c>
      <c r="GF213">
        <v>-2121948317</v>
      </c>
      <c r="GG213">
        <v>2</v>
      </c>
      <c r="GH213">
        <v>1</v>
      </c>
      <c r="GI213">
        <v>-2</v>
      </c>
      <c r="GJ213">
        <v>0</v>
      </c>
      <c r="GK213">
        <v>0</v>
      </c>
      <c r="GL213">
        <f t="shared" si="153"/>
        <v>0</v>
      </c>
      <c r="GM213">
        <f t="shared" si="154"/>
        <v>6974.78</v>
      </c>
      <c r="GN213">
        <f t="shared" si="155"/>
        <v>6974.78</v>
      </c>
      <c r="GO213">
        <f t="shared" si="156"/>
        <v>0</v>
      </c>
      <c r="GP213">
        <f t="shared" si="157"/>
        <v>0</v>
      </c>
      <c r="GR213">
        <v>0</v>
      </c>
      <c r="GS213">
        <v>0</v>
      </c>
      <c r="GT213">
        <v>0</v>
      </c>
      <c r="GU213" t="s">
        <v>3</v>
      </c>
      <c r="GV213">
        <f t="shared" si="158"/>
        <v>0</v>
      </c>
      <c r="GW213">
        <v>1</v>
      </c>
      <c r="GX213">
        <f t="shared" si="159"/>
        <v>0</v>
      </c>
      <c r="HA213">
        <v>0</v>
      </c>
      <c r="HB213">
        <v>0</v>
      </c>
      <c r="HC213">
        <f t="shared" si="160"/>
        <v>0</v>
      </c>
      <c r="HE213" t="s">
        <v>3</v>
      </c>
      <c r="HF213" t="s">
        <v>3</v>
      </c>
      <c r="HM213" t="s">
        <v>3</v>
      </c>
      <c r="HN213" t="s">
        <v>3</v>
      </c>
      <c r="HO213" t="s">
        <v>3</v>
      </c>
      <c r="HP213" t="s">
        <v>3</v>
      </c>
      <c r="HQ213" t="s">
        <v>3</v>
      </c>
      <c r="IK213">
        <v>0</v>
      </c>
    </row>
    <row r="214" spans="1:245" x14ac:dyDescent="0.2">
      <c r="A214">
        <v>17</v>
      </c>
      <c r="B214">
        <v>1</v>
      </c>
      <c r="E214" t="s">
        <v>321</v>
      </c>
      <c r="F214" t="s">
        <v>322</v>
      </c>
      <c r="G214" t="s">
        <v>323</v>
      </c>
      <c r="H214" t="s">
        <v>94</v>
      </c>
      <c r="I214">
        <v>8.2320000000000004E-2</v>
      </c>
      <c r="J214">
        <v>0</v>
      </c>
      <c r="K214">
        <v>8.2320000000000004E-2</v>
      </c>
      <c r="O214">
        <f t="shared" si="123"/>
        <v>6290.7</v>
      </c>
      <c r="P214">
        <f t="shared" si="124"/>
        <v>6290.7</v>
      </c>
      <c r="Q214">
        <f t="shared" si="125"/>
        <v>0</v>
      </c>
      <c r="R214">
        <f t="shared" si="126"/>
        <v>0</v>
      </c>
      <c r="S214">
        <f t="shared" si="127"/>
        <v>0</v>
      </c>
      <c r="T214">
        <f t="shared" si="128"/>
        <v>0</v>
      </c>
      <c r="U214">
        <f t="shared" si="129"/>
        <v>0</v>
      </c>
      <c r="V214">
        <f t="shared" si="130"/>
        <v>0</v>
      </c>
      <c r="W214">
        <f t="shared" si="131"/>
        <v>0</v>
      </c>
      <c r="X214">
        <f t="shared" si="132"/>
        <v>0</v>
      </c>
      <c r="Y214">
        <f t="shared" si="133"/>
        <v>0</v>
      </c>
      <c r="AA214">
        <v>65170852</v>
      </c>
      <c r="AB214">
        <f t="shared" si="134"/>
        <v>86838.22</v>
      </c>
      <c r="AC214">
        <f t="shared" si="135"/>
        <v>86838.22</v>
      </c>
      <c r="AD214">
        <f t="shared" si="136"/>
        <v>0</v>
      </c>
      <c r="AE214">
        <f t="shared" si="137"/>
        <v>0</v>
      </c>
      <c r="AF214">
        <f t="shared" si="138"/>
        <v>0</v>
      </c>
      <c r="AG214">
        <f t="shared" si="139"/>
        <v>0</v>
      </c>
      <c r="AH214">
        <f t="shared" si="140"/>
        <v>0</v>
      </c>
      <c r="AI214">
        <f t="shared" si="141"/>
        <v>0</v>
      </c>
      <c r="AJ214">
        <f t="shared" si="142"/>
        <v>0</v>
      </c>
      <c r="AK214">
        <v>86838.22</v>
      </c>
      <c r="AL214">
        <v>86838.22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1</v>
      </c>
      <c r="AW214">
        <v>1</v>
      </c>
      <c r="AZ214">
        <v>1</v>
      </c>
      <c r="BA214">
        <v>1</v>
      </c>
      <c r="BB214">
        <v>1</v>
      </c>
      <c r="BC214">
        <v>0.88</v>
      </c>
      <c r="BD214" t="s">
        <v>3</v>
      </c>
      <c r="BE214" t="s">
        <v>3</v>
      </c>
      <c r="BF214" t="s">
        <v>3</v>
      </c>
      <c r="BG214" t="s">
        <v>3</v>
      </c>
      <c r="BH214">
        <v>3</v>
      </c>
      <c r="BI214">
        <v>1</v>
      </c>
      <c r="BJ214" t="s">
        <v>324</v>
      </c>
      <c r="BM214">
        <v>500001</v>
      </c>
      <c r="BN214">
        <v>0</v>
      </c>
      <c r="BO214" t="s">
        <v>322</v>
      </c>
      <c r="BP214">
        <v>1</v>
      </c>
      <c r="BQ214">
        <v>8</v>
      </c>
      <c r="BR214">
        <v>0</v>
      </c>
      <c r="BS214">
        <v>1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3</v>
      </c>
      <c r="BZ214">
        <v>0</v>
      </c>
      <c r="CA214">
        <v>0</v>
      </c>
      <c r="CB214" t="s">
        <v>3</v>
      </c>
      <c r="CE214">
        <v>0</v>
      </c>
      <c r="CF214">
        <v>0</v>
      </c>
      <c r="CG214">
        <v>0</v>
      </c>
      <c r="CM214">
        <v>0</v>
      </c>
      <c r="CN214" t="s">
        <v>3</v>
      </c>
      <c r="CO214">
        <v>0</v>
      </c>
      <c r="CP214">
        <f t="shared" si="143"/>
        <v>6290.7</v>
      </c>
      <c r="CQ214">
        <f t="shared" si="144"/>
        <v>76417.63</v>
      </c>
      <c r="CR214">
        <f t="shared" si="145"/>
        <v>0</v>
      </c>
      <c r="CS214">
        <f t="shared" si="146"/>
        <v>0</v>
      </c>
      <c r="CT214">
        <f t="shared" si="147"/>
        <v>0</v>
      </c>
      <c r="CU214">
        <f t="shared" si="148"/>
        <v>0</v>
      </c>
      <c r="CV214">
        <f t="shared" si="149"/>
        <v>0</v>
      </c>
      <c r="CW214">
        <f t="shared" si="150"/>
        <v>0</v>
      </c>
      <c r="CX214">
        <f t="shared" si="151"/>
        <v>0</v>
      </c>
      <c r="CY214">
        <f>0</f>
        <v>0</v>
      </c>
      <c r="CZ214">
        <f>0</f>
        <v>0</v>
      </c>
      <c r="DC214" t="s">
        <v>3</v>
      </c>
      <c r="DD214" t="s">
        <v>3</v>
      </c>
      <c r="DE214" t="s">
        <v>3</v>
      </c>
      <c r="DF214" t="s">
        <v>3</v>
      </c>
      <c r="DG214" t="s">
        <v>3</v>
      </c>
      <c r="DH214" t="s">
        <v>3</v>
      </c>
      <c r="DI214" t="s">
        <v>3</v>
      </c>
      <c r="DJ214" t="s">
        <v>3</v>
      </c>
      <c r="DK214" t="s">
        <v>3</v>
      </c>
      <c r="DL214" t="s">
        <v>3</v>
      </c>
      <c r="DM214" t="s">
        <v>3</v>
      </c>
      <c r="DN214">
        <v>0</v>
      </c>
      <c r="DO214">
        <v>0</v>
      </c>
      <c r="DP214">
        <v>1</v>
      </c>
      <c r="DQ214">
        <v>1</v>
      </c>
      <c r="DU214">
        <v>1009</v>
      </c>
      <c r="DV214" t="s">
        <v>94</v>
      </c>
      <c r="DW214" t="s">
        <v>94</v>
      </c>
      <c r="DX214">
        <v>1000</v>
      </c>
      <c r="DZ214" t="s">
        <v>3</v>
      </c>
      <c r="EA214" t="s">
        <v>3</v>
      </c>
      <c r="EB214" t="s">
        <v>3</v>
      </c>
      <c r="EC214" t="s">
        <v>3</v>
      </c>
      <c r="EE214">
        <v>64850935</v>
      </c>
      <c r="EF214">
        <v>8</v>
      </c>
      <c r="EG214" t="s">
        <v>308</v>
      </c>
      <c r="EH214">
        <v>0</v>
      </c>
      <c r="EI214" t="s">
        <v>3</v>
      </c>
      <c r="EJ214">
        <v>1</v>
      </c>
      <c r="EK214">
        <v>500001</v>
      </c>
      <c r="EL214" t="s">
        <v>309</v>
      </c>
      <c r="EM214" t="s">
        <v>310</v>
      </c>
      <c r="EO214" t="s">
        <v>3</v>
      </c>
      <c r="EQ214">
        <v>0</v>
      </c>
      <c r="ER214">
        <v>86838.22</v>
      </c>
      <c r="ES214">
        <v>86838.22</v>
      </c>
      <c r="ET214">
        <v>0</v>
      </c>
      <c r="EU214">
        <v>0</v>
      </c>
      <c r="EV214">
        <v>0</v>
      </c>
      <c r="EW214">
        <v>0</v>
      </c>
      <c r="EX214">
        <v>0</v>
      </c>
      <c r="EY214">
        <v>0</v>
      </c>
      <c r="FQ214">
        <v>0</v>
      </c>
      <c r="FR214">
        <f t="shared" si="152"/>
        <v>0</v>
      </c>
      <c r="FS214">
        <v>0</v>
      </c>
      <c r="FX214">
        <v>0</v>
      </c>
      <c r="FY214">
        <v>0</v>
      </c>
      <c r="GA214" t="s">
        <v>3</v>
      </c>
      <c r="GD214">
        <v>1</v>
      </c>
      <c r="GF214">
        <v>204314566</v>
      </c>
      <c r="GG214">
        <v>2</v>
      </c>
      <c r="GH214">
        <v>1</v>
      </c>
      <c r="GI214">
        <v>2</v>
      </c>
      <c r="GJ214">
        <v>0</v>
      </c>
      <c r="GK214">
        <v>0</v>
      </c>
      <c r="GL214">
        <f t="shared" si="153"/>
        <v>0</v>
      </c>
      <c r="GM214">
        <f t="shared" si="154"/>
        <v>6290.7</v>
      </c>
      <c r="GN214">
        <f t="shared" si="155"/>
        <v>6290.7</v>
      </c>
      <c r="GO214">
        <f t="shared" si="156"/>
        <v>0</v>
      </c>
      <c r="GP214">
        <f t="shared" si="157"/>
        <v>0</v>
      </c>
      <c r="GR214">
        <v>0</v>
      </c>
      <c r="GS214">
        <v>0</v>
      </c>
      <c r="GT214">
        <v>0</v>
      </c>
      <c r="GU214" t="s">
        <v>3</v>
      </c>
      <c r="GV214">
        <f t="shared" si="158"/>
        <v>0</v>
      </c>
      <c r="GW214">
        <v>1</v>
      </c>
      <c r="GX214">
        <f t="shared" si="159"/>
        <v>0</v>
      </c>
      <c r="HA214">
        <v>0</v>
      </c>
      <c r="HB214">
        <v>0</v>
      </c>
      <c r="HC214">
        <f t="shared" si="160"/>
        <v>0</v>
      </c>
      <c r="HE214" t="s">
        <v>3</v>
      </c>
      <c r="HF214" t="s">
        <v>3</v>
      </c>
      <c r="HM214" t="s">
        <v>3</v>
      </c>
      <c r="HN214" t="s">
        <v>3</v>
      </c>
      <c r="HO214" t="s">
        <v>3</v>
      </c>
      <c r="HP214" t="s">
        <v>3</v>
      </c>
      <c r="HQ214" t="s">
        <v>3</v>
      </c>
      <c r="IK214">
        <v>0</v>
      </c>
    </row>
    <row r="215" spans="1:245" x14ac:dyDescent="0.2">
      <c r="A215">
        <v>17</v>
      </c>
      <c r="B215">
        <v>1</v>
      </c>
      <c r="E215" t="s">
        <v>325</v>
      </c>
      <c r="F215" t="s">
        <v>326</v>
      </c>
      <c r="G215" t="s">
        <v>327</v>
      </c>
      <c r="H215" t="s">
        <v>220</v>
      </c>
      <c r="I215">
        <v>10</v>
      </c>
      <c r="J215">
        <v>0</v>
      </c>
      <c r="K215">
        <v>10</v>
      </c>
      <c r="O215">
        <f t="shared" si="123"/>
        <v>46745.4</v>
      </c>
      <c r="P215">
        <f t="shared" si="124"/>
        <v>46745.4</v>
      </c>
      <c r="Q215">
        <f t="shared" si="125"/>
        <v>0</v>
      </c>
      <c r="R215">
        <f t="shared" si="126"/>
        <v>0</v>
      </c>
      <c r="S215">
        <f t="shared" si="127"/>
        <v>0</v>
      </c>
      <c r="T215">
        <f t="shared" si="128"/>
        <v>0</v>
      </c>
      <c r="U215">
        <f t="shared" si="129"/>
        <v>0</v>
      </c>
      <c r="V215">
        <f t="shared" si="130"/>
        <v>0</v>
      </c>
      <c r="W215">
        <f t="shared" si="131"/>
        <v>0</v>
      </c>
      <c r="X215">
        <f t="shared" si="132"/>
        <v>0</v>
      </c>
      <c r="Y215">
        <f t="shared" si="133"/>
        <v>0</v>
      </c>
      <c r="AA215">
        <v>65170852</v>
      </c>
      <c r="AB215">
        <f t="shared" si="134"/>
        <v>4136.76</v>
      </c>
      <c r="AC215">
        <f t="shared" si="135"/>
        <v>4136.76</v>
      </c>
      <c r="AD215">
        <f t="shared" si="136"/>
        <v>0</v>
      </c>
      <c r="AE215">
        <f t="shared" si="137"/>
        <v>0</v>
      </c>
      <c r="AF215">
        <f t="shared" si="138"/>
        <v>0</v>
      </c>
      <c r="AG215">
        <f t="shared" si="139"/>
        <v>0</v>
      </c>
      <c r="AH215">
        <f t="shared" si="140"/>
        <v>0</v>
      </c>
      <c r="AI215">
        <f t="shared" si="141"/>
        <v>0</v>
      </c>
      <c r="AJ215">
        <f t="shared" si="142"/>
        <v>0</v>
      </c>
      <c r="AK215">
        <v>4136.76</v>
      </c>
      <c r="AL215">
        <v>4136.76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1</v>
      </c>
      <c r="AW215">
        <v>1</v>
      </c>
      <c r="AZ215">
        <v>1</v>
      </c>
      <c r="BA215">
        <v>1</v>
      </c>
      <c r="BB215">
        <v>1</v>
      </c>
      <c r="BC215">
        <v>1.1299999999999999</v>
      </c>
      <c r="BD215" t="s">
        <v>3</v>
      </c>
      <c r="BE215" t="s">
        <v>3</v>
      </c>
      <c r="BF215" t="s">
        <v>3</v>
      </c>
      <c r="BG215" t="s">
        <v>3</v>
      </c>
      <c r="BH215">
        <v>3</v>
      </c>
      <c r="BI215">
        <v>1</v>
      </c>
      <c r="BJ215" t="s">
        <v>328</v>
      </c>
      <c r="BM215">
        <v>500001</v>
      </c>
      <c r="BN215">
        <v>0</v>
      </c>
      <c r="BO215" t="s">
        <v>326</v>
      </c>
      <c r="BP215">
        <v>1</v>
      </c>
      <c r="BQ215">
        <v>8</v>
      </c>
      <c r="BR215">
        <v>0</v>
      </c>
      <c r="BS215">
        <v>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0</v>
      </c>
      <c r="CA215">
        <v>0</v>
      </c>
      <c r="CB215" t="s">
        <v>3</v>
      </c>
      <c r="CE215">
        <v>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si="143"/>
        <v>46745.4</v>
      </c>
      <c r="CQ215">
        <f t="shared" si="144"/>
        <v>4674.54</v>
      </c>
      <c r="CR215">
        <f t="shared" si="145"/>
        <v>0</v>
      </c>
      <c r="CS215">
        <f t="shared" si="146"/>
        <v>0</v>
      </c>
      <c r="CT215">
        <f t="shared" si="147"/>
        <v>0</v>
      </c>
      <c r="CU215">
        <f t="shared" si="148"/>
        <v>0</v>
      </c>
      <c r="CV215">
        <f t="shared" si="149"/>
        <v>0</v>
      </c>
      <c r="CW215">
        <f t="shared" si="150"/>
        <v>0</v>
      </c>
      <c r="CX215">
        <f t="shared" si="151"/>
        <v>0</v>
      </c>
      <c r="CY215">
        <f>0</f>
        <v>0</v>
      </c>
      <c r="CZ215">
        <f>0</f>
        <v>0</v>
      </c>
      <c r="DC215" t="s">
        <v>3</v>
      </c>
      <c r="DD215" t="s">
        <v>3</v>
      </c>
      <c r="DE215" t="s">
        <v>3</v>
      </c>
      <c r="DF215" t="s">
        <v>3</v>
      </c>
      <c r="DG215" t="s">
        <v>3</v>
      </c>
      <c r="DH215" t="s">
        <v>3</v>
      </c>
      <c r="DI215" t="s">
        <v>3</v>
      </c>
      <c r="DJ215" t="s">
        <v>3</v>
      </c>
      <c r="DK215" t="s">
        <v>3</v>
      </c>
      <c r="DL215" t="s">
        <v>3</v>
      </c>
      <c r="DM215" t="s">
        <v>3</v>
      </c>
      <c r="DN215">
        <v>0</v>
      </c>
      <c r="DO215">
        <v>0</v>
      </c>
      <c r="DP215">
        <v>1</v>
      </c>
      <c r="DQ215">
        <v>1</v>
      </c>
      <c r="DU215">
        <v>1013</v>
      </c>
      <c r="DV215" t="s">
        <v>220</v>
      </c>
      <c r="DW215" t="s">
        <v>220</v>
      </c>
      <c r="DX215">
        <v>1</v>
      </c>
      <c r="DZ215" t="s">
        <v>3</v>
      </c>
      <c r="EA215" t="s">
        <v>3</v>
      </c>
      <c r="EB215" t="s">
        <v>3</v>
      </c>
      <c r="EC215" t="s">
        <v>3</v>
      </c>
      <c r="EE215">
        <v>64850935</v>
      </c>
      <c r="EF215">
        <v>8</v>
      </c>
      <c r="EG215" t="s">
        <v>308</v>
      </c>
      <c r="EH215">
        <v>0</v>
      </c>
      <c r="EI215" t="s">
        <v>3</v>
      </c>
      <c r="EJ215">
        <v>1</v>
      </c>
      <c r="EK215">
        <v>500001</v>
      </c>
      <c r="EL215" t="s">
        <v>309</v>
      </c>
      <c r="EM215" t="s">
        <v>310</v>
      </c>
      <c r="EO215" t="s">
        <v>3</v>
      </c>
      <c r="EQ215">
        <v>0</v>
      </c>
      <c r="ER215">
        <v>4136.76</v>
      </c>
      <c r="ES215">
        <v>4136.76</v>
      </c>
      <c r="ET215">
        <v>0</v>
      </c>
      <c r="EU215">
        <v>0</v>
      </c>
      <c r="EV215">
        <v>0</v>
      </c>
      <c r="EW215">
        <v>0</v>
      </c>
      <c r="EX215">
        <v>0</v>
      </c>
      <c r="EY215">
        <v>0</v>
      </c>
      <c r="FQ215">
        <v>0</v>
      </c>
      <c r="FR215">
        <f t="shared" si="152"/>
        <v>0</v>
      </c>
      <c r="FS215">
        <v>0</v>
      </c>
      <c r="FX215">
        <v>0</v>
      </c>
      <c r="FY215">
        <v>0</v>
      </c>
      <c r="GA215" t="s">
        <v>3</v>
      </c>
      <c r="GD215">
        <v>1</v>
      </c>
      <c r="GF215">
        <v>820523594</v>
      </c>
      <c r="GG215">
        <v>2</v>
      </c>
      <c r="GH215">
        <v>1</v>
      </c>
      <c r="GI215">
        <v>2</v>
      </c>
      <c r="GJ215">
        <v>0</v>
      </c>
      <c r="GK215">
        <v>0</v>
      </c>
      <c r="GL215">
        <f t="shared" si="153"/>
        <v>0</v>
      </c>
      <c r="GM215">
        <f t="shared" si="154"/>
        <v>46745.4</v>
      </c>
      <c r="GN215">
        <f t="shared" si="155"/>
        <v>46745.4</v>
      </c>
      <c r="GO215">
        <f t="shared" si="156"/>
        <v>0</v>
      </c>
      <c r="GP215">
        <f t="shared" si="157"/>
        <v>0</v>
      </c>
      <c r="GR215">
        <v>0</v>
      </c>
      <c r="GS215">
        <v>0</v>
      </c>
      <c r="GT215">
        <v>0</v>
      </c>
      <c r="GU215" t="s">
        <v>3</v>
      </c>
      <c r="GV215">
        <f t="shared" si="158"/>
        <v>0</v>
      </c>
      <c r="GW215">
        <v>1</v>
      </c>
      <c r="GX215">
        <f t="shared" si="159"/>
        <v>0</v>
      </c>
      <c r="HA215">
        <v>0</v>
      </c>
      <c r="HB215">
        <v>0</v>
      </c>
      <c r="HC215">
        <f t="shared" si="160"/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1</v>
      </c>
      <c r="E216" t="s">
        <v>329</v>
      </c>
      <c r="F216" t="s">
        <v>330</v>
      </c>
      <c r="G216" t="s">
        <v>331</v>
      </c>
      <c r="H216" t="s">
        <v>76</v>
      </c>
      <c r="I216">
        <f>ROUND(10/100,7)</f>
        <v>0.1</v>
      </c>
      <c r="J216">
        <v>0</v>
      </c>
      <c r="K216">
        <f>ROUND(10/100,7)</f>
        <v>0.1</v>
      </c>
      <c r="O216">
        <f t="shared" si="123"/>
        <v>200.97</v>
      </c>
      <c r="P216">
        <f t="shared" si="124"/>
        <v>200.97</v>
      </c>
      <c r="Q216">
        <f t="shared" si="125"/>
        <v>0</v>
      </c>
      <c r="R216">
        <f t="shared" si="126"/>
        <v>0</v>
      </c>
      <c r="S216">
        <f t="shared" si="127"/>
        <v>0</v>
      </c>
      <c r="T216">
        <f t="shared" si="128"/>
        <v>0</v>
      </c>
      <c r="U216">
        <f t="shared" si="129"/>
        <v>0</v>
      </c>
      <c r="V216">
        <f t="shared" si="130"/>
        <v>0</v>
      </c>
      <c r="W216">
        <f t="shared" si="131"/>
        <v>0</v>
      </c>
      <c r="X216">
        <f t="shared" si="132"/>
        <v>0</v>
      </c>
      <c r="Y216">
        <f t="shared" si="133"/>
        <v>0</v>
      </c>
      <c r="AA216">
        <v>65170852</v>
      </c>
      <c r="AB216">
        <f t="shared" si="134"/>
        <v>1367.14</v>
      </c>
      <c r="AC216">
        <f t="shared" si="135"/>
        <v>1367.14</v>
      </c>
      <c r="AD216">
        <f t="shared" si="136"/>
        <v>0</v>
      </c>
      <c r="AE216">
        <f t="shared" si="137"/>
        <v>0</v>
      </c>
      <c r="AF216">
        <f t="shared" si="138"/>
        <v>0</v>
      </c>
      <c r="AG216">
        <f t="shared" si="139"/>
        <v>0</v>
      </c>
      <c r="AH216">
        <f t="shared" si="140"/>
        <v>0</v>
      </c>
      <c r="AI216">
        <f t="shared" si="141"/>
        <v>0</v>
      </c>
      <c r="AJ216">
        <f t="shared" si="142"/>
        <v>0</v>
      </c>
      <c r="AK216">
        <v>1367.14</v>
      </c>
      <c r="AL216">
        <v>1367.14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1.47</v>
      </c>
      <c r="BD216" t="s">
        <v>3</v>
      </c>
      <c r="BE216" t="s">
        <v>3</v>
      </c>
      <c r="BF216" t="s">
        <v>3</v>
      </c>
      <c r="BG216" t="s">
        <v>3</v>
      </c>
      <c r="BH216">
        <v>3</v>
      </c>
      <c r="BI216">
        <v>1</v>
      </c>
      <c r="BJ216" t="s">
        <v>332</v>
      </c>
      <c r="BM216">
        <v>500001</v>
      </c>
      <c r="BN216">
        <v>0</v>
      </c>
      <c r="BO216" t="s">
        <v>330</v>
      </c>
      <c r="BP216">
        <v>1</v>
      </c>
      <c r="BQ216">
        <v>8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0</v>
      </c>
      <c r="CA216">
        <v>0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143"/>
        <v>200.97</v>
      </c>
      <c r="CQ216">
        <f t="shared" si="144"/>
        <v>2009.7</v>
      </c>
      <c r="CR216">
        <f t="shared" si="145"/>
        <v>0</v>
      </c>
      <c r="CS216">
        <f t="shared" si="146"/>
        <v>0</v>
      </c>
      <c r="CT216">
        <f t="shared" si="147"/>
        <v>0</v>
      </c>
      <c r="CU216">
        <f t="shared" si="148"/>
        <v>0</v>
      </c>
      <c r="CV216">
        <f t="shared" si="149"/>
        <v>0</v>
      </c>
      <c r="CW216">
        <f t="shared" si="150"/>
        <v>0</v>
      </c>
      <c r="CX216">
        <f t="shared" si="151"/>
        <v>0</v>
      </c>
      <c r="CY216">
        <f>0</f>
        <v>0</v>
      </c>
      <c r="CZ216">
        <f>0</f>
        <v>0</v>
      </c>
      <c r="DC216" t="s">
        <v>3</v>
      </c>
      <c r="DD216" t="s">
        <v>3</v>
      </c>
      <c r="DE216" t="s">
        <v>3</v>
      </c>
      <c r="DF216" t="s">
        <v>3</v>
      </c>
      <c r="DG216" t="s">
        <v>3</v>
      </c>
      <c r="DH216" t="s">
        <v>3</v>
      </c>
      <c r="DI216" t="s">
        <v>3</v>
      </c>
      <c r="DJ216" t="s">
        <v>3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1013</v>
      </c>
      <c r="DV216" t="s">
        <v>76</v>
      </c>
      <c r="DW216" t="s">
        <v>76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64850935</v>
      </c>
      <c r="EF216">
        <v>8</v>
      </c>
      <c r="EG216" t="s">
        <v>308</v>
      </c>
      <c r="EH216">
        <v>0</v>
      </c>
      <c r="EI216" t="s">
        <v>3</v>
      </c>
      <c r="EJ216">
        <v>1</v>
      </c>
      <c r="EK216">
        <v>500001</v>
      </c>
      <c r="EL216" t="s">
        <v>309</v>
      </c>
      <c r="EM216" t="s">
        <v>310</v>
      </c>
      <c r="EO216" t="s">
        <v>3</v>
      </c>
      <c r="EQ216">
        <v>0</v>
      </c>
      <c r="ER216">
        <v>1367.14</v>
      </c>
      <c r="ES216">
        <v>1367.14</v>
      </c>
      <c r="ET216">
        <v>0</v>
      </c>
      <c r="EU216">
        <v>0</v>
      </c>
      <c r="EV216">
        <v>0</v>
      </c>
      <c r="EW216">
        <v>0</v>
      </c>
      <c r="EX216">
        <v>0</v>
      </c>
      <c r="EY216">
        <v>0</v>
      </c>
      <c r="FQ216">
        <v>0</v>
      </c>
      <c r="FR216">
        <f t="shared" si="152"/>
        <v>0</v>
      </c>
      <c r="FS216">
        <v>0</v>
      </c>
      <c r="FX216">
        <v>0</v>
      </c>
      <c r="FY216">
        <v>0</v>
      </c>
      <c r="GA216" t="s">
        <v>3</v>
      </c>
      <c r="GD216">
        <v>1</v>
      </c>
      <c r="GF216">
        <v>-595014145</v>
      </c>
      <c r="GG216">
        <v>2</v>
      </c>
      <c r="GH216">
        <v>1</v>
      </c>
      <c r="GI216">
        <v>2</v>
      </c>
      <c r="GJ216">
        <v>0</v>
      </c>
      <c r="GK216">
        <v>0</v>
      </c>
      <c r="GL216">
        <f t="shared" si="153"/>
        <v>0</v>
      </c>
      <c r="GM216">
        <f t="shared" si="154"/>
        <v>200.97</v>
      </c>
      <c r="GN216">
        <f t="shared" si="155"/>
        <v>200.97</v>
      </c>
      <c r="GO216">
        <f t="shared" si="156"/>
        <v>0</v>
      </c>
      <c r="GP216">
        <f t="shared" si="157"/>
        <v>0</v>
      </c>
      <c r="GR216">
        <v>0</v>
      </c>
      <c r="GS216">
        <v>0</v>
      </c>
      <c r="GT216">
        <v>0</v>
      </c>
      <c r="GU216" t="s">
        <v>3</v>
      </c>
      <c r="GV216">
        <f t="shared" si="158"/>
        <v>0</v>
      </c>
      <c r="GW216">
        <v>1</v>
      </c>
      <c r="GX216">
        <f t="shared" si="159"/>
        <v>0</v>
      </c>
      <c r="HA216">
        <v>0</v>
      </c>
      <c r="HB216">
        <v>0</v>
      </c>
      <c r="HC216">
        <f t="shared" si="160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8" spans="1:245" x14ac:dyDescent="0.2">
      <c r="A218" s="2">
        <v>51</v>
      </c>
      <c r="B218" s="2">
        <f>B204</f>
        <v>1</v>
      </c>
      <c r="C218" s="2">
        <f>A204</f>
        <v>4</v>
      </c>
      <c r="D218" s="2">
        <f>ROW(A204)</f>
        <v>204</v>
      </c>
      <c r="E218" s="2"/>
      <c r="F218" s="2" t="str">
        <f>IF(F204&lt;&gt;"",F204,"")</f>
        <v>Новый раздел</v>
      </c>
      <c r="G218" s="2" t="str">
        <f>IF(G204&lt;&gt;"",G204,"")</f>
        <v>Материалы не учтенные ценником</v>
      </c>
      <c r="H218" s="2">
        <v>0</v>
      </c>
      <c r="I218" s="2"/>
      <c r="J218" s="2"/>
      <c r="K218" s="2"/>
      <c r="L218" s="2"/>
      <c r="M218" s="2"/>
      <c r="N218" s="2"/>
      <c r="O218" s="2">
        <f t="shared" ref="O218:T218" si="161">ROUND(AB218,2)</f>
        <v>68945.899999999994</v>
      </c>
      <c r="P218" s="2">
        <f t="shared" si="161"/>
        <v>68945.899999999994</v>
      </c>
      <c r="Q218" s="2">
        <f t="shared" si="161"/>
        <v>0</v>
      </c>
      <c r="R218" s="2">
        <f t="shared" si="161"/>
        <v>0</v>
      </c>
      <c r="S218" s="2">
        <f t="shared" si="161"/>
        <v>0</v>
      </c>
      <c r="T218" s="2">
        <f t="shared" si="161"/>
        <v>0</v>
      </c>
      <c r="U218" s="2">
        <f>AH218</f>
        <v>0</v>
      </c>
      <c r="V218" s="2">
        <f>AI218</f>
        <v>0</v>
      </c>
      <c r="W218" s="2">
        <f>ROUND(AJ218,2)</f>
        <v>0</v>
      </c>
      <c r="X218" s="2">
        <f>ROUND(AK218,2)</f>
        <v>0</v>
      </c>
      <c r="Y218" s="2">
        <f>ROUND(AL218,2)</f>
        <v>0</v>
      </c>
      <c r="Z218" s="2"/>
      <c r="AA218" s="2"/>
      <c r="AB218" s="2">
        <f>ROUND(SUMIF(AA208:AA216,"=65170852",O208:O216),2)</f>
        <v>68945.899999999994</v>
      </c>
      <c r="AC218" s="2">
        <f>ROUND(SUMIF(AA208:AA216,"=65170852",P208:P216),2)</f>
        <v>68945.899999999994</v>
      </c>
      <c r="AD218" s="2">
        <f>ROUND(SUMIF(AA208:AA216,"=65170852",Q208:Q216),2)</f>
        <v>0</v>
      </c>
      <c r="AE218" s="2">
        <f>ROUND(SUMIF(AA208:AA216,"=65170852",R208:R216),2)</f>
        <v>0</v>
      </c>
      <c r="AF218" s="2">
        <f>ROUND(SUMIF(AA208:AA216,"=65170852",S208:S216),2)</f>
        <v>0</v>
      </c>
      <c r="AG218" s="2">
        <f>ROUND(SUMIF(AA208:AA216,"=65170852",T208:T216),2)</f>
        <v>0</v>
      </c>
      <c r="AH218" s="2">
        <f>SUMIF(AA208:AA216,"=65170852",U208:U216)</f>
        <v>0</v>
      </c>
      <c r="AI218" s="2">
        <f>SUMIF(AA208:AA216,"=65170852",V208:V216)</f>
        <v>0</v>
      </c>
      <c r="AJ218" s="2">
        <f>ROUND(SUMIF(AA208:AA216,"=65170852",W208:W216),2)</f>
        <v>0</v>
      </c>
      <c r="AK218" s="2">
        <f>ROUND(SUMIF(AA208:AA216,"=65170852",X208:X216),2)</f>
        <v>0</v>
      </c>
      <c r="AL218" s="2">
        <f>ROUND(SUMIF(AA208:AA216,"=65170852",Y208:Y216),2)</f>
        <v>0</v>
      </c>
      <c r="AM218" s="2"/>
      <c r="AN218" s="2"/>
      <c r="AO218" s="2">
        <f t="shared" ref="AO218:BD218" si="162">ROUND(BX218,2)</f>
        <v>0</v>
      </c>
      <c r="AP218" s="2">
        <f t="shared" si="162"/>
        <v>0</v>
      </c>
      <c r="AQ218" s="2">
        <f t="shared" si="162"/>
        <v>0</v>
      </c>
      <c r="AR218" s="2">
        <f t="shared" si="162"/>
        <v>68945.899999999994</v>
      </c>
      <c r="AS218" s="2">
        <f t="shared" si="162"/>
        <v>61548.86</v>
      </c>
      <c r="AT218" s="2">
        <f t="shared" si="162"/>
        <v>7397.04</v>
      </c>
      <c r="AU218" s="2">
        <f t="shared" si="162"/>
        <v>0</v>
      </c>
      <c r="AV218" s="2">
        <f t="shared" si="162"/>
        <v>68945.899999999994</v>
      </c>
      <c r="AW218" s="2">
        <f t="shared" si="162"/>
        <v>68945.899999999994</v>
      </c>
      <c r="AX218" s="2">
        <f t="shared" si="162"/>
        <v>0</v>
      </c>
      <c r="AY218" s="2">
        <f t="shared" si="162"/>
        <v>68945.899999999994</v>
      </c>
      <c r="AZ218" s="2">
        <f t="shared" si="162"/>
        <v>0</v>
      </c>
      <c r="BA218" s="2">
        <f t="shared" si="162"/>
        <v>0</v>
      </c>
      <c r="BB218" s="2">
        <f t="shared" si="162"/>
        <v>0</v>
      </c>
      <c r="BC218" s="2">
        <f t="shared" si="162"/>
        <v>0</v>
      </c>
      <c r="BD218" s="2">
        <f t="shared" si="162"/>
        <v>0</v>
      </c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>
        <f>ROUND(SUMIF(AA208:AA216,"=65170852",FQ208:FQ216),2)</f>
        <v>0</v>
      </c>
      <c r="BY218" s="2">
        <f>ROUND(SUMIF(AA208:AA216,"=65170852",FR208:FR216),2)</f>
        <v>0</v>
      </c>
      <c r="BZ218" s="2">
        <f>ROUND(SUMIF(AA208:AA216,"=65170852",GL208:GL216),2)</f>
        <v>0</v>
      </c>
      <c r="CA218" s="2">
        <f>ROUND(SUMIF(AA208:AA216,"=65170852",GM208:GM216),2)</f>
        <v>68945.899999999994</v>
      </c>
      <c r="CB218" s="2">
        <f>ROUND(SUMIF(AA208:AA216,"=65170852",GN208:GN216),2)</f>
        <v>61548.86</v>
      </c>
      <c r="CC218" s="2">
        <f>ROUND(SUMIF(AA208:AA216,"=65170852",GO208:GO216),2)</f>
        <v>7397.04</v>
      </c>
      <c r="CD218" s="2">
        <f>ROUND(SUMIF(AA208:AA216,"=65170852",GP208:GP216),2)</f>
        <v>0</v>
      </c>
      <c r="CE218" s="2">
        <f>AC218-BX218</f>
        <v>68945.899999999994</v>
      </c>
      <c r="CF218" s="2">
        <f>AC218-BY218</f>
        <v>68945.899999999994</v>
      </c>
      <c r="CG218" s="2">
        <f>BX218-BZ218</f>
        <v>0</v>
      </c>
      <c r="CH218" s="2">
        <f>AC218-BX218-BY218+BZ218</f>
        <v>68945.899999999994</v>
      </c>
      <c r="CI218" s="2">
        <f>BY218-BZ218</f>
        <v>0</v>
      </c>
      <c r="CJ218" s="2">
        <f>ROUND(SUMIF(AA208:AA216,"=65170852",GX208:GX216),2)</f>
        <v>0</v>
      </c>
      <c r="CK218" s="2">
        <f>ROUND(SUMIF(AA208:AA216,"=65170852",GY208:GY216),2)</f>
        <v>0</v>
      </c>
      <c r="CL218" s="2">
        <f>ROUND(SUMIF(AA208:AA216,"=65170852",GZ208:GZ216),2)</f>
        <v>0</v>
      </c>
      <c r="CM218" s="2">
        <f>ROUND(SUMIF(AA208:AA216,"=65170852",HD208:HD216),2)</f>
        <v>0</v>
      </c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  <c r="EH218" s="3"/>
      <c r="EI218" s="3"/>
      <c r="EJ218" s="3"/>
      <c r="EK218" s="3"/>
      <c r="EL218" s="3"/>
      <c r="EM218" s="3"/>
      <c r="EN218" s="3"/>
      <c r="EO218" s="3"/>
      <c r="EP218" s="3"/>
      <c r="EQ218" s="3"/>
      <c r="ER218" s="3"/>
      <c r="ES218" s="3"/>
      <c r="ET218" s="3"/>
      <c r="EU218" s="3"/>
      <c r="EV218" s="3"/>
      <c r="EW218" s="3"/>
      <c r="EX218" s="3"/>
      <c r="EY218" s="3"/>
      <c r="EZ218" s="3"/>
      <c r="FA218" s="3"/>
      <c r="FB218" s="3"/>
      <c r="FC218" s="3"/>
      <c r="FD218" s="3"/>
      <c r="FE218" s="3"/>
      <c r="FF218" s="3"/>
      <c r="FG218" s="3"/>
      <c r="FH218" s="3"/>
      <c r="FI218" s="3"/>
      <c r="FJ218" s="3"/>
      <c r="FK218" s="3"/>
      <c r="FL218" s="3"/>
      <c r="FM218" s="3"/>
      <c r="FN218" s="3"/>
      <c r="FO218" s="3"/>
      <c r="FP218" s="3"/>
      <c r="FQ218" s="3"/>
      <c r="FR218" s="3"/>
      <c r="FS218" s="3"/>
      <c r="FT218" s="3"/>
      <c r="FU218" s="3"/>
      <c r="FV218" s="3"/>
      <c r="FW218" s="3"/>
      <c r="FX218" s="3"/>
      <c r="FY218" s="3"/>
      <c r="FZ218" s="3"/>
      <c r="GA218" s="3"/>
      <c r="GB218" s="3"/>
      <c r="GC218" s="3"/>
      <c r="GD218" s="3"/>
      <c r="GE218" s="3"/>
      <c r="GF218" s="3"/>
      <c r="GG218" s="3"/>
      <c r="GH218" s="3"/>
      <c r="GI218" s="3"/>
      <c r="GJ218" s="3"/>
      <c r="GK218" s="3"/>
      <c r="GL218" s="3"/>
      <c r="GM218" s="3"/>
      <c r="GN218" s="3"/>
      <c r="GO218" s="3"/>
      <c r="GP218" s="3"/>
      <c r="GQ218" s="3"/>
      <c r="GR218" s="3"/>
      <c r="GS218" s="3"/>
      <c r="GT218" s="3"/>
      <c r="GU218" s="3"/>
      <c r="GV218" s="3"/>
      <c r="GW218" s="3"/>
      <c r="GX218" s="3">
        <v>0</v>
      </c>
    </row>
    <row r="220" spans="1:245" x14ac:dyDescent="0.2">
      <c r="A220" s="4">
        <v>50</v>
      </c>
      <c r="B220" s="4">
        <v>0</v>
      </c>
      <c r="C220" s="4">
        <v>0</v>
      </c>
      <c r="D220" s="4">
        <v>1</v>
      </c>
      <c r="E220" s="4">
        <v>201</v>
      </c>
      <c r="F220" s="4">
        <f>ROUND(Source!O218,O220)</f>
        <v>68945.899999999994</v>
      </c>
      <c r="G220" s="4" t="s">
        <v>16</v>
      </c>
      <c r="H220" s="4" t="s">
        <v>17</v>
      </c>
      <c r="I220" s="4"/>
      <c r="J220" s="4"/>
      <c r="K220" s="4">
        <v>201</v>
      </c>
      <c r="L220" s="4">
        <v>1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68945.899999999994</v>
      </c>
      <c r="X220" s="4">
        <v>1</v>
      </c>
      <c r="Y220" s="4">
        <v>68945.899999999994</v>
      </c>
      <c r="Z220" s="4"/>
      <c r="AA220" s="4"/>
      <c r="AB220" s="4"/>
    </row>
    <row r="221" spans="1:245" x14ac:dyDescent="0.2">
      <c r="A221" s="4">
        <v>50</v>
      </c>
      <c r="B221" s="4">
        <v>0</v>
      </c>
      <c r="C221" s="4">
        <v>0</v>
      </c>
      <c r="D221" s="4">
        <v>1</v>
      </c>
      <c r="E221" s="4">
        <v>202</v>
      </c>
      <c r="F221" s="4">
        <f>ROUND(Source!P218,O221)</f>
        <v>68945.899999999994</v>
      </c>
      <c r="G221" s="4" t="s">
        <v>18</v>
      </c>
      <c r="H221" s="4" t="s">
        <v>19</v>
      </c>
      <c r="I221" s="4"/>
      <c r="J221" s="4"/>
      <c r="K221" s="4">
        <v>202</v>
      </c>
      <c r="L221" s="4">
        <v>2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68945.899999999994</v>
      </c>
      <c r="X221" s="4">
        <v>1</v>
      </c>
      <c r="Y221" s="4">
        <v>68945.899999999994</v>
      </c>
      <c r="Z221" s="4"/>
      <c r="AA221" s="4"/>
      <c r="AB221" s="4"/>
    </row>
    <row r="222" spans="1:245" x14ac:dyDescent="0.2">
      <c r="A222" s="4">
        <v>50</v>
      </c>
      <c r="B222" s="4">
        <v>0</v>
      </c>
      <c r="C222" s="4">
        <v>0</v>
      </c>
      <c r="D222" s="4">
        <v>1</v>
      </c>
      <c r="E222" s="4">
        <v>222</v>
      </c>
      <c r="F222" s="4">
        <f>ROUND(Source!AO218,O222)</f>
        <v>0</v>
      </c>
      <c r="G222" s="4" t="s">
        <v>20</v>
      </c>
      <c r="H222" s="4" t="s">
        <v>21</v>
      </c>
      <c r="I222" s="4"/>
      <c r="J222" s="4"/>
      <c r="K222" s="4">
        <v>222</v>
      </c>
      <c r="L222" s="4">
        <v>3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45" x14ac:dyDescent="0.2">
      <c r="A223" s="4">
        <v>50</v>
      </c>
      <c r="B223" s="4">
        <v>0</v>
      </c>
      <c r="C223" s="4">
        <v>0</v>
      </c>
      <c r="D223" s="4">
        <v>1</v>
      </c>
      <c r="E223" s="4">
        <v>225</v>
      </c>
      <c r="F223" s="4">
        <f>ROUND(Source!AV218,O223)</f>
        <v>68945.899999999994</v>
      </c>
      <c r="G223" s="4" t="s">
        <v>22</v>
      </c>
      <c r="H223" s="4" t="s">
        <v>23</v>
      </c>
      <c r="I223" s="4"/>
      <c r="J223" s="4"/>
      <c r="K223" s="4">
        <v>225</v>
      </c>
      <c r="L223" s="4">
        <v>4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68945.899999999994</v>
      </c>
      <c r="X223" s="4">
        <v>1</v>
      </c>
      <c r="Y223" s="4">
        <v>68945.899999999994</v>
      </c>
      <c r="Z223" s="4"/>
      <c r="AA223" s="4"/>
      <c r="AB223" s="4"/>
    </row>
    <row r="224" spans="1:245" x14ac:dyDescent="0.2">
      <c r="A224" s="4">
        <v>50</v>
      </c>
      <c r="B224" s="4">
        <v>0</v>
      </c>
      <c r="C224" s="4">
        <v>0</v>
      </c>
      <c r="D224" s="4">
        <v>1</v>
      </c>
      <c r="E224" s="4">
        <v>226</v>
      </c>
      <c r="F224" s="4">
        <f>ROUND(Source!AW218,O224)</f>
        <v>68945.899999999994</v>
      </c>
      <c r="G224" s="4" t="s">
        <v>24</v>
      </c>
      <c r="H224" s="4" t="s">
        <v>25</v>
      </c>
      <c r="I224" s="4"/>
      <c r="J224" s="4"/>
      <c r="K224" s="4">
        <v>226</v>
      </c>
      <c r="L224" s="4">
        <v>5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68945.899999999994</v>
      </c>
      <c r="X224" s="4">
        <v>1</v>
      </c>
      <c r="Y224" s="4">
        <v>68945.899999999994</v>
      </c>
      <c r="Z224" s="4"/>
      <c r="AA224" s="4"/>
      <c r="AB224" s="4"/>
    </row>
    <row r="225" spans="1:28" x14ac:dyDescent="0.2">
      <c r="A225" s="4">
        <v>50</v>
      </c>
      <c r="B225" s="4">
        <v>0</v>
      </c>
      <c r="C225" s="4">
        <v>0</v>
      </c>
      <c r="D225" s="4">
        <v>1</v>
      </c>
      <c r="E225" s="4">
        <v>227</v>
      </c>
      <c r="F225" s="4">
        <f>ROUND(Source!AX218,O225)</f>
        <v>0</v>
      </c>
      <c r="G225" s="4" t="s">
        <v>26</v>
      </c>
      <c r="H225" s="4" t="s">
        <v>27</v>
      </c>
      <c r="I225" s="4"/>
      <c r="J225" s="4"/>
      <c r="K225" s="4">
        <v>227</v>
      </c>
      <c r="L225" s="4">
        <v>6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228</v>
      </c>
      <c r="F226" s="4">
        <f>ROUND(Source!AY218,O226)</f>
        <v>68945.899999999994</v>
      </c>
      <c r="G226" s="4" t="s">
        <v>28</v>
      </c>
      <c r="H226" s="4" t="s">
        <v>29</v>
      </c>
      <c r="I226" s="4"/>
      <c r="J226" s="4"/>
      <c r="K226" s="4">
        <v>228</v>
      </c>
      <c r="L226" s="4">
        <v>7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68945.899999999994</v>
      </c>
      <c r="X226" s="4">
        <v>1</v>
      </c>
      <c r="Y226" s="4">
        <v>68945.899999999994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216</v>
      </c>
      <c r="F227" s="4">
        <f>ROUND(Source!AP218,O227)</f>
        <v>0</v>
      </c>
      <c r="G227" s="4" t="s">
        <v>30</v>
      </c>
      <c r="H227" s="4" t="s">
        <v>31</v>
      </c>
      <c r="I227" s="4"/>
      <c r="J227" s="4"/>
      <c r="K227" s="4">
        <v>216</v>
      </c>
      <c r="L227" s="4">
        <v>8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223</v>
      </c>
      <c r="F228" s="4">
        <f>ROUND(Source!AQ218,O228)</f>
        <v>0</v>
      </c>
      <c r="G228" s="4" t="s">
        <v>32</v>
      </c>
      <c r="H228" s="4" t="s">
        <v>33</v>
      </c>
      <c r="I228" s="4"/>
      <c r="J228" s="4"/>
      <c r="K228" s="4">
        <v>223</v>
      </c>
      <c r="L228" s="4">
        <v>9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229</v>
      </c>
      <c r="F229" s="4">
        <f>ROUND(Source!AZ218,O229)</f>
        <v>0</v>
      </c>
      <c r="G229" s="4" t="s">
        <v>34</v>
      </c>
      <c r="H229" s="4" t="s">
        <v>35</v>
      </c>
      <c r="I229" s="4"/>
      <c r="J229" s="4"/>
      <c r="K229" s="4">
        <v>229</v>
      </c>
      <c r="L229" s="4">
        <v>10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203</v>
      </c>
      <c r="F230" s="4">
        <f>ROUND(Source!Q218,O230)</f>
        <v>0</v>
      </c>
      <c r="G230" s="4" t="s">
        <v>36</v>
      </c>
      <c r="H230" s="4" t="s">
        <v>37</v>
      </c>
      <c r="I230" s="4"/>
      <c r="J230" s="4"/>
      <c r="K230" s="4">
        <v>203</v>
      </c>
      <c r="L230" s="4">
        <v>11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231</v>
      </c>
      <c r="F231" s="4">
        <f>ROUND(Source!BB218,O231)</f>
        <v>0</v>
      </c>
      <c r="G231" s="4" t="s">
        <v>38</v>
      </c>
      <c r="H231" s="4" t="s">
        <v>39</v>
      </c>
      <c r="I231" s="4"/>
      <c r="J231" s="4"/>
      <c r="K231" s="4">
        <v>231</v>
      </c>
      <c r="L231" s="4">
        <v>12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204</v>
      </c>
      <c r="F232" s="4">
        <f>ROUND(Source!R218,O232)</f>
        <v>0</v>
      </c>
      <c r="G232" s="4" t="s">
        <v>40</v>
      </c>
      <c r="H232" s="4" t="s">
        <v>41</v>
      </c>
      <c r="I232" s="4"/>
      <c r="J232" s="4"/>
      <c r="K232" s="4">
        <v>204</v>
      </c>
      <c r="L232" s="4">
        <v>13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205</v>
      </c>
      <c r="F233" s="4">
        <f>ROUND(Source!S218,O233)</f>
        <v>0</v>
      </c>
      <c r="G233" s="4" t="s">
        <v>42</v>
      </c>
      <c r="H233" s="4" t="s">
        <v>43</v>
      </c>
      <c r="I233" s="4"/>
      <c r="J233" s="4"/>
      <c r="K233" s="4">
        <v>205</v>
      </c>
      <c r="L233" s="4">
        <v>14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232</v>
      </c>
      <c r="F234" s="4">
        <f>ROUND(Source!BC218,O234)</f>
        <v>0</v>
      </c>
      <c r="G234" s="4" t="s">
        <v>44</v>
      </c>
      <c r="H234" s="4" t="s">
        <v>45</v>
      </c>
      <c r="I234" s="4"/>
      <c r="J234" s="4"/>
      <c r="K234" s="4">
        <v>232</v>
      </c>
      <c r="L234" s="4">
        <v>15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214</v>
      </c>
      <c r="F235" s="4">
        <f>ROUND(Source!AS218,O235)</f>
        <v>61548.86</v>
      </c>
      <c r="G235" s="4" t="s">
        <v>46</v>
      </c>
      <c r="H235" s="4" t="s">
        <v>47</v>
      </c>
      <c r="I235" s="4"/>
      <c r="J235" s="4"/>
      <c r="K235" s="4">
        <v>214</v>
      </c>
      <c r="L235" s="4">
        <v>16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61548.86</v>
      </c>
      <c r="X235" s="4">
        <v>1</v>
      </c>
      <c r="Y235" s="4">
        <v>61548.86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215</v>
      </c>
      <c r="F236" s="4">
        <f>ROUND(Source!AT218,O236)</f>
        <v>7397.04</v>
      </c>
      <c r="G236" s="4" t="s">
        <v>48</v>
      </c>
      <c r="H236" s="4" t="s">
        <v>49</v>
      </c>
      <c r="I236" s="4"/>
      <c r="J236" s="4"/>
      <c r="K236" s="4">
        <v>215</v>
      </c>
      <c r="L236" s="4">
        <v>17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7397.04</v>
      </c>
      <c r="X236" s="4">
        <v>1</v>
      </c>
      <c r="Y236" s="4">
        <v>7397.04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217</v>
      </c>
      <c r="F237" s="4">
        <f>ROUND(Source!AU218,O237)</f>
        <v>0</v>
      </c>
      <c r="G237" s="4" t="s">
        <v>50</v>
      </c>
      <c r="H237" s="4" t="s">
        <v>51</v>
      </c>
      <c r="I237" s="4"/>
      <c r="J237" s="4"/>
      <c r="K237" s="4">
        <v>217</v>
      </c>
      <c r="L237" s="4">
        <v>18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230</v>
      </c>
      <c r="F238" s="4">
        <f>ROUND(Source!BA218,O238)</f>
        <v>0</v>
      </c>
      <c r="G238" s="4" t="s">
        <v>52</v>
      </c>
      <c r="H238" s="4" t="s">
        <v>53</v>
      </c>
      <c r="I238" s="4"/>
      <c r="J238" s="4"/>
      <c r="K238" s="4">
        <v>230</v>
      </c>
      <c r="L238" s="4">
        <v>19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x14ac:dyDescent="0.2">
      <c r="A239" s="4">
        <v>50</v>
      </c>
      <c r="B239" s="4">
        <v>0</v>
      </c>
      <c r="C239" s="4">
        <v>0</v>
      </c>
      <c r="D239" s="4">
        <v>1</v>
      </c>
      <c r="E239" s="4">
        <v>206</v>
      </c>
      <c r="F239" s="4">
        <f>ROUND(Source!T218,O239)</f>
        <v>0</v>
      </c>
      <c r="G239" s="4" t="s">
        <v>54</v>
      </c>
      <c r="H239" s="4" t="s">
        <v>55</v>
      </c>
      <c r="I239" s="4"/>
      <c r="J239" s="4"/>
      <c r="K239" s="4">
        <v>206</v>
      </c>
      <c r="L239" s="4">
        <v>20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8" x14ac:dyDescent="0.2">
      <c r="A240" s="4">
        <v>50</v>
      </c>
      <c r="B240" s="4">
        <v>0</v>
      </c>
      <c r="C240" s="4">
        <v>0</v>
      </c>
      <c r="D240" s="4">
        <v>1</v>
      </c>
      <c r="E240" s="4">
        <v>207</v>
      </c>
      <c r="F240" s="4">
        <f>ROUND(Source!U218,O240)</f>
        <v>0</v>
      </c>
      <c r="G240" s="4" t="s">
        <v>56</v>
      </c>
      <c r="H240" s="4" t="s">
        <v>57</v>
      </c>
      <c r="I240" s="4"/>
      <c r="J240" s="4"/>
      <c r="K240" s="4">
        <v>207</v>
      </c>
      <c r="L240" s="4">
        <v>21</v>
      </c>
      <c r="M240" s="4">
        <v>3</v>
      </c>
      <c r="N240" s="4" t="s">
        <v>3</v>
      </c>
      <c r="O240" s="4">
        <v>7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45" x14ac:dyDescent="0.2">
      <c r="A241" s="4">
        <v>50</v>
      </c>
      <c r="B241" s="4">
        <v>0</v>
      </c>
      <c r="C241" s="4">
        <v>0</v>
      </c>
      <c r="D241" s="4">
        <v>1</v>
      </c>
      <c r="E241" s="4">
        <v>208</v>
      </c>
      <c r="F241" s="4">
        <f>ROUND(Source!V218,O241)</f>
        <v>0</v>
      </c>
      <c r="G241" s="4" t="s">
        <v>58</v>
      </c>
      <c r="H241" s="4" t="s">
        <v>59</v>
      </c>
      <c r="I241" s="4"/>
      <c r="J241" s="4"/>
      <c r="K241" s="4">
        <v>208</v>
      </c>
      <c r="L241" s="4">
        <v>22</v>
      </c>
      <c r="M241" s="4">
        <v>3</v>
      </c>
      <c r="N241" s="4" t="s">
        <v>3</v>
      </c>
      <c r="O241" s="4">
        <v>7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45" x14ac:dyDescent="0.2">
      <c r="A242" s="4">
        <v>50</v>
      </c>
      <c r="B242" s="4">
        <v>0</v>
      </c>
      <c r="C242" s="4">
        <v>0</v>
      </c>
      <c r="D242" s="4">
        <v>1</v>
      </c>
      <c r="E242" s="4">
        <v>209</v>
      </c>
      <c r="F242" s="4">
        <f>ROUND(Source!W218,O242)</f>
        <v>0</v>
      </c>
      <c r="G242" s="4" t="s">
        <v>60</v>
      </c>
      <c r="H242" s="4" t="s">
        <v>61</v>
      </c>
      <c r="I242" s="4"/>
      <c r="J242" s="4"/>
      <c r="K242" s="4">
        <v>209</v>
      </c>
      <c r="L242" s="4">
        <v>23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45" x14ac:dyDescent="0.2">
      <c r="A243" s="4">
        <v>50</v>
      </c>
      <c r="B243" s="4">
        <v>0</v>
      </c>
      <c r="C243" s="4">
        <v>0</v>
      </c>
      <c r="D243" s="4">
        <v>1</v>
      </c>
      <c r="E243" s="4">
        <v>233</v>
      </c>
      <c r="F243" s="4">
        <f>ROUND(Source!BD218,O243)</f>
        <v>0</v>
      </c>
      <c r="G243" s="4" t="s">
        <v>62</v>
      </c>
      <c r="H243" s="4" t="s">
        <v>63</v>
      </c>
      <c r="I243" s="4"/>
      <c r="J243" s="4"/>
      <c r="K243" s="4">
        <v>233</v>
      </c>
      <c r="L243" s="4">
        <v>24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45" x14ac:dyDescent="0.2">
      <c r="A244" s="4">
        <v>50</v>
      </c>
      <c r="B244" s="4">
        <v>0</v>
      </c>
      <c r="C244" s="4">
        <v>0</v>
      </c>
      <c r="D244" s="4">
        <v>1</v>
      </c>
      <c r="E244" s="4">
        <v>210</v>
      </c>
      <c r="F244" s="4">
        <f>ROUND(Source!X218,O244)</f>
        <v>0</v>
      </c>
      <c r="G244" s="4" t="s">
        <v>64</v>
      </c>
      <c r="H244" s="4" t="s">
        <v>65</v>
      </c>
      <c r="I244" s="4"/>
      <c r="J244" s="4"/>
      <c r="K244" s="4">
        <v>210</v>
      </c>
      <c r="L244" s="4">
        <v>25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45" x14ac:dyDescent="0.2">
      <c r="A245" s="4">
        <v>50</v>
      </c>
      <c r="B245" s="4">
        <v>0</v>
      </c>
      <c r="C245" s="4">
        <v>0</v>
      </c>
      <c r="D245" s="4">
        <v>1</v>
      </c>
      <c r="E245" s="4">
        <v>211</v>
      </c>
      <c r="F245" s="4">
        <f>ROUND(Source!Y218,O245)</f>
        <v>0</v>
      </c>
      <c r="G245" s="4" t="s">
        <v>66</v>
      </c>
      <c r="H245" s="4" t="s">
        <v>67</v>
      </c>
      <c r="I245" s="4"/>
      <c r="J245" s="4"/>
      <c r="K245" s="4">
        <v>211</v>
      </c>
      <c r="L245" s="4">
        <v>26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45" x14ac:dyDescent="0.2">
      <c r="A246" s="4">
        <v>50</v>
      </c>
      <c r="B246" s="4">
        <v>0</v>
      </c>
      <c r="C246" s="4">
        <v>0</v>
      </c>
      <c r="D246" s="4">
        <v>1</v>
      </c>
      <c r="E246" s="4">
        <v>224</v>
      </c>
      <c r="F246" s="4">
        <f>ROUND(Source!AR218,O246)</f>
        <v>68945.899999999994</v>
      </c>
      <c r="G246" s="4" t="s">
        <v>68</v>
      </c>
      <c r="H246" s="4" t="s">
        <v>69</v>
      </c>
      <c r="I246" s="4"/>
      <c r="J246" s="4"/>
      <c r="K246" s="4">
        <v>224</v>
      </c>
      <c r="L246" s="4">
        <v>27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68945.899999999994</v>
      </c>
      <c r="X246" s="4">
        <v>1</v>
      </c>
      <c r="Y246" s="4">
        <v>68945.899999999994</v>
      </c>
      <c r="Z246" s="4"/>
      <c r="AA246" s="4"/>
      <c r="AB246" s="4"/>
    </row>
    <row r="248" spans="1:245" x14ac:dyDescent="0.2">
      <c r="A248" s="1">
        <v>4</v>
      </c>
      <c r="B248" s="1">
        <v>1</v>
      </c>
      <c r="C248" s="1"/>
      <c r="D248" s="1">
        <f>ROW(A256)</f>
        <v>256</v>
      </c>
      <c r="E248" s="1"/>
      <c r="F248" s="1" t="s">
        <v>71</v>
      </c>
      <c r="G248" s="1" t="s">
        <v>333</v>
      </c>
      <c r="H248" s="1" t="s">
        <v>3</v>
      </c>
      <c r="I248" s="1">
        <v>0</v>
      </c>
      <c r="J248" s="1"/>
      <c r="K248" s="1">
        <v>-1</v>
      </c>
      <c r="L248" s="1"/>
      <c r="M248" s="1" t="s">
        <v>3</v>
      </c>
      <c r="N248" s="1"/>
      <c r="O248" s="1"/>
      <c r="P248" s="1"/>
      <c r="Q248" s="1"/>
      <c r="R248" s="1"/>
      <c r="S248" s="1">
        <v>0</v>
      </c>
      <c r="T248" s="1"/>
      <c r="U248" s="1" t="s">
        <v>3</v>
      </c>
      <c r="V248" s="1">
        <v>0</v>
      </c>
      <c r="W248" s="1"/>
      <c r="X248" s="1"/>
      <c r="Y248" s="1"/>
      <c r="Z248" s="1"/>
      <c r="AA248" s="1"/>
      <c r="AB248" s="1" t="s">
        <v>3</v>
      </c>
      <c r="AC248" s="1" t="s">
        <v>3</v>
      </c>
      <c r="AD248" s="1" t="s">
        <v>3</v>
      </c>
      <c r="AE248" s="1" t="s">
        <v>3</v>
      </c>
      <c r="AF248" s="1" t="s">
        <v>3</v>
      </c>
      <c r="AG248" s="1" t="s">
        <v>3</v>
      </c>
      <c r="AH248" s="1"/>
      <c r="AI248" s="1"/>
      <c r="AJ248" s="1"/>
      <c r="AK248" s="1"/>
      <c r="AL248" s="1"/>
      <c r="AM248" s="1"/>
      <c r="AN248" s="1"/>
      <c r="AO248" s="1"/>
      <c r="AP248" s="1" t="s">
        <v>3</v>
      </c>
      <c r="AQ248" s="1" t="s">
        <v>3</v>
      </c>
      <c r="AR248" s="1" t="s">
        <v>3</v>
      </c>
      <c r="AS248" s="1"/>
      <c r="AT248" s="1"/>
      <c r="AU248" s="1"/>
      <c r="AV248" s="1"/>
      <c r="AW248" s="1"/>
      <c r="AX248" s="1"/>
      <c r="AY248" s="1"/>
      <c r="AZ248" s="1" t="s">
        <v>3</v>
      </c>
      <c r="BA248" s="1"/>
      <c r="BB248" s="1" t="s">
        <v>3</v>
      </c>
      <c r="BC248" s="1" t="s">
        <v>3</v>
      </c>
      <c r="BD248" s="1" t="s">
        <v>3</v>
      </c>
      <c r="BE248" s="1" t="s">
        <v>3</v>
      </c>
      <c r="BF248" s="1" t="s">
        <v>3</v>
      </c>
      <c r="BG248" s="1" t="s">
        <v>3</v>
      </c>
      <c r="BH248" s="1" t="s">
        <v>3</v>
      </c>
      <c r="BI248" s="1" t="s">
        <v>3</v>
      </c>
      <c r="BJ248" s="1" t="s">
        <v>3</v>
      </c>
      <c r="BK248" s="1" t="s">
        <v>3</v>
      </c>
      <c r="BL248" s="1" t="s">
        <v>3</v>
      </c>
      <c r="BM248" s="1" t="s">
        <v>3</v>
      </c>
      <c r="BN248" s="1" t="s">
        <v>3</v>
      </c>
      <c r="BO248" s="1" t="s">
        <v>3</v>
      </c>
      <c r="BP248" s="1" t="s">
        <v>3</v>
      </c>
      <c r="BQ248" s="1"/>
      <c r="BR248" s="1"/>
      <c r="BS248" s="1"/>
      <c r="BT248" s="1"/>
      <c r="BU248" s="1"/>
      <c r="BV248" s="1"/>
      <c r="BW248" s="1"/>
      <c r="BX248" s="1">
        <v>0</v>
      </c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>
        <v>0</v>
      </c>
    </row>
    <row r="250" spans="1:245" x14ac:dyDescent="0.2">
      <c r="A250" s="2">
        <v>52</v>
      </c>
      <c r="B250" s="2">
        <f t="shared" ref="B250:G250" si="163">B256</f>
        <v>1</v>
      </c>
      <c r="C250" s="2">
        <f t="shared" si="163"/>
        <v>4</v>
      </c>
      <c r="D250" s="2">
        <f t="shared" si="163"/>
        <v>248</v>
      </c>
      <c r="E250" s="2">
        <f t="shared" si="163"/>
        <v>0</v>
      </c>
      <c r="F250" s="2" t="str">
        <f t="shared" si="163"/>
        <v>Новый раздел</v>
      </c>
      <c r="G250" s="2" t="str">
        <f t="shared" si="163"/>
        <v>Оборудование</v>
      </c>
      <c r="H250" s="2"/>
      <c r="I250" s="2"/>
      <c r="J250" s="2"/>
      <c r="K250" s="2"/>
      <c r="L250" s="2"/>
      <c r="M250" s="2"/>
      <c r="N250" s="2"/>
      <c r="O250" s="2">
        <f t="shared" ref="O250:AT250" si="164">O256</f>
        <v>1892931.47</v>
      </c>
      <c r="P250" s="2">
        <f t="shared" si="164"/>
        <v>1892931.47</v>
      </c>
      <c r="Q250" s="2">
        <f t="shared" si="164"/>
        <v>0</v>
      </c>
      <c r="R250" s="2">
        <f t="shared" si="164"/>
        <v>0</v>
      </c>
      <c r="S250" s="2">
        <f t="shared" si="164"/>
        <v>0</v>
      </c>
      <c r="T250" s="2">
        <f t="shared" si="164"/>
        <v>0</v>
      </c>
      <c r="U250" s="2">
        <f t="shared" si="164"/>
        <v>0</v>
      </c>
      <c r="V250" s="2">
        <f t="shared" si="164"/>
        <v>0</v>
      </c>
      <c r="W250" s="2">
        <f t="shared" si="164"/>
        <v>0</v>
      </c>
      <c r="X250" s="2">
        <f t="shared" si="164"/>
        <v>0</v>
      </c>
      <c r="Y250" s="2">
        <f t="shared" si="164"/>
        <v>0</v>
      </c>
      <c r="Z250" s="2">
        <f t="shared" si="164"/>
        <v>0</v>
      </c>
      <c r="AA250" s="2">
        <f t="shared" si="164"/>
        <v>0</v>
      </c>
      <c r="AB250" s="2">
        <f t="shared" si="164"/>
        <v>1892931.47</v>
      </c>
      <c r="AC250" s="2">
        <f t="shared" si="164"/>
        <v>1892931.47</v>
      </c>
      <c r="AD250" s="2">
        <f t="shared" si="164"/>
        <v>0</v>
      </c>
      <c r="AE250" s="2">
        <f t="shared" si="164"/>
        <v>0</v>
      </c>
      <c r="AF250" s="2">
        <f t="shared" si="164"/>
        <v>0</v>
      </c>
      <c r="AG250" s="2">
        <f t="shared" si="164"/>
        <v>0</v>
      </c>
      <c r="AH250" s="2">
        <f t="shared" si="164"/>
        <v>0</v>
      </c>
      <c r="AI250" s="2">
        <f t="shared" si="164"/>
        <v>0</v>
      </c>
      <c r="AJ250" s="2">
        <f t="shared" si="164"/>
        <v>0</v>
      </c>
      <c r="AK250" s="2">
        <f t="shared" si="164"/>
        <v>0</v>
      </c>
      <c r="AL250" s="2">
        <f t="shared" si="164"/>
        <v>0</v>
      </c>
      <c r="AM250" s="2">
        <f t="shared" si="164"/>
        <v>0</v>
      </c>
      <c r="AN250" s="2">
        <f t="shared" si="164"/>
        <v>0</v>
      </c>
      <c r="AO250" s="2">
        <f t="shared" si="164"/>
        <v>0</v>
      </c>
      <c r="AP250" s="2">
        <f t="shared" si="164"/>
        <v>0</v>
      </c>
      <c r="AQ250" s="2">
        <f t="shared" si="164"/>
        <v>0</v>
      </c>
      <c r="AR250" s="2">
        <f t="shared" si="164"/>
        <v>1892931.47</v>
      </c>
      <c r="AS250" s="2">
        <f t="shared" si="164"/>
        <v>1892931.47</v>
      </c>
      <c r="AT250" s="2">
        <f t="shared" si="164"/>
        <v>0</v>
      </c>
      <c r="AU250" s="2">
        <f t="shared" ref="AU250:BZ250" si="165">AU256</f>
        <v>0</v>
      </c>
      <c r="AV250" s="2">
        <f t="shared" si="165"/>
        <v>1892931.47</v>
      </c>
      <c r="AW250" s="2">
        <f t="shared" si="165"/>
        <v>1892931.47</v>
      </c>
      <c r="AX250" s="2">
        <f t="shared" si="165"/>
        <v>0</v>
      </c>
      <c r="AY250" s="2">
        <f t="shared" si="165"/>
        <v>1892931.47</v>
      </c>
      <c r="AZ250" s="2">
        <f t="shared" si="165"/>
        <v>0</v>
      </c>
      <c r="BA250" s="2">
        <f t="shared" si="165"/>
        <v>0</v>
      </c>
      <c r="BB250" s="2">
        <f t="shared" si="165"/>
        <v>0</v>
      </c>
      <c r="BC250" s="2">
        <f t="shared" si="165"/>
        <v>0</v>
      </c>
      <c r="BD250" s="2">
        <f t="shared" si="165"/>
        <v>0</v>
      </c>
      <c r="BE250" s="2">
        <f t="shared" si="165"/>
        <v>0</v>
      </c>
      <c r="BF250" s="2">
        <f t="shared" si="165"/>
        <v>0</v>
      </c>
      <c r="BG250" s="2">
        <f t="shared" si="165"/>
        <v>0</v>
      </c>
      <c r="BH250" s="2">
        <f t="shared" si="165"/>
        <v>0</v>
      </c>
      <c r="BI250" s="2">
        <f t="shared" si="165"/>
        <v>0</v>
      </c>
      <c r="BJ250" s="2">
        <f t="shared" si="165"/>
        <v>0</v>
      </c>
      <c r="BK250" s="2">
        <f t="shared" si="165"/>
        <v>0</v>
      </c>
      <c r="BL250" s="2">
        <f t="shared" si="165"/>
        <v>0</v>
      </c>
      <c r="BM250" s="2">
        <f t="shared" si="165"/>
        <v>0</v>
      </c>
      <c r="BN250" s="2">
        <f t="shared" si="165"/>
        <v>0</v>
      </c>
      <c r="BO250" s="2">
        <f t="shared" si="165"/>
        <v>0</v>
      </c>
      <c r="BP250" s="2">
        <f t="shared" si="165"/>
        <v>0</v>
      </c>
      <c r="BQ250" s="2">
        <f t="shared" si="165"/>
        <v>0</v>
      </c>
      <c r="BR250" s="2">
        <f t="shared" si="165"/>
        <v>0</v>
      </c>
      <c r="BS250" s="2">
        <f t="shared" si="165"/>
        <v>0</v>
      </c>
      <c r="BT250" s="2">
        <f t="shared" si="165"/>
        <v>0</v>
      </c>
      <c r="BU250" s="2">
        <f t="shared" si="165"/>
        <v>0</v>
      </c>
      <c r="BV250" s="2">
        <f t="shared" si="165"/>
        <v>0</v>
      </c>
      <c r="BW250" s="2">
        <f t="shared" si="165"/>
        <v>0</v>
      </c>
      <c r="BX250" s="2">
        <f t="shared" si="165"/>
        <v>0</v>
      </c>
      <c r="BY250" s="2">
        <f t="shared" si="165"/>
        <v>0</v>
      </c>
      <c r="BZ250" s="2">
        <f t="shared" si="165"/>
        <v>0</v>
      </c>
      <c r="CA250" s="2">
        <f t="shared" ref="CA250:DF250" si="166">CA256</f>
        <v>1892931.47</v>
      </c>
      <c r="CB250" s="2">
        <f t="shared" si="166"/>
        <v>1892931.47</v>
      </c>
      <c r="CC250" s="2">
        <f t="shared" si="166"/>
        <v>0</v>
      </c>
      <c r="CD250" s="2">
        <f t="shared" si="166"/>
        <v>0</v>
      </c>
      <c r="CE250" s="2">
        <f t="shared" si="166"/>
        <v>1892931.47</v>
      </c>
      <c r="CF250" s="2">
        <f t="shared" si="166"/>
        <v>1892931.47</v>
      </c>
      <c r="CG250" s="2">
        <f t="shared" si="166"/>
        <v>0</v>
      </c>
      <c r="CH250" s="2">
        <f t="shared" si="166"/>
        <v>1892931.47</v>
      </c>
      <c r="CI250" s="2">
        <f t="shared" si="166"/>
        <v>0</v>
      </c>
      <c r="CJ250" s="2">
        <f t="shared" si="166"/>
        <v>0</v>
      </c>
      <c r="CK250" s="2">
        <f t="shared" si="166"/>
        <v>0</v>
      </c>
      <c r="CL250" s="2">
        <f t="shared" si="166"/>
        <v>0</v>
      </c>
      <c r="CM250" s="2">
        <f t="shared" si="166"/>
        <v>0</v>
      </c>
      <c r="CN250" s="2">
        <f t="shared" si="166"/>
        <v>0</v>
      </c>
      <c r="CO250" s="2">
        <f t="shared" si="166"/>
        <v>0</v>
      </c>
      <c r="CP250" s="2">
        <f t="shared" si="166"/>
        <v>0</v>
      </c>
      <c r="CQ250" s="2">
        <f t="shared" si="166"/>
        <v>0</v>
      </c>
      <c r="CR250" s="2">
        <f t="shared" si="166"/>
        <v>0</v>
      </c>
      <c r="CS250" s="2">
        <f t="shared" si="166"/>
        <v>0</v>
      </c>
      <c r="CT250" s="2">
        <f t="shared" si="166"/>
        <v>0</v>
      </c>
      <c r="CU250" s="2">
        <f t="shared" si="166"/>
        <v>0</v>
      </c>
      <c r="CV250" s="2">
        <f t="shared" si="166"/>
        <v>0</v>
      </c>
      <c r="CW250" s="2">
        <f t="shared" si="166"/>
        <v>0</v>
      </c>
      <c r="CX250" s="2">
        <f t="shared" si="166"/>
        <v>0</v>
      </c>
      <c r="CY250" s="2">
        <f t="shared" si="166"/>
        <v>0</v>
      </c>
      <c r="CZ250" s="2">
        <f t="shared" si="166"/>
        <v>0</v>
      </c>
      <c r="DA250" s="2">
        <f t="shared" si="166"/>
        <v>0</v>
      </c>
      <c r="DB250" s="2">
        <f t="shared" si="166"/>
        <v>0</v>
      </c>
      <c r="DC250" s="2">
        <f t="shared" si="166"/>
        <v>0</v>
      </c>
      <c r="DD250" s="2">
        <f t="shared" si="166"/>
        <v>0</v>
      </c>
      <c r="DE250" s="2">
        <f t="shared" si="166"/>
        <v>0</v>
      </c>
      <c r="DF250" s="2">
        <f t="shared" si="166"/>
        <v>0</v>
      </c>
      <c r="DG250" s="3">
        <f t="shared" ref="DG250:EL250" si="167">DG256</f>
        <v>0</v>
      </c>
      <c r="DH250" s="3">
        <f t="shared" si="167"/>
        <v>0</v>
      </c>
      <c r="DI250" s="3">
        <f t="shared" si="167"/>
        <v>0</v>
      </c>
      <c r="DJ250" s="3">
        <f t="shared" si="167"/>
        <v>0</v>
      </c>
      <c r="DK250" s="3">
        <f t="shared" si="167"/>
        <v>0</v>
      </c>
      <c r="DL250" s="3">
        <f t="shared" si="167"/>
        <v>0</v>
      </c>
      <c r="DM250" s="3">
        <f t="shared" si="167"/>
        <v>0</v>
      </c>
      <c r="DN250" s="3">
        <f t="shared" si="167"/>
        <v>0</v>
      </c>
      <c r="DO250" s="3">
        <f t="shared" si="167"/>
        <v>0</v>
      </c>
      <c r="DP250" s="3">
        <f t="shared" si="167"/>
        <v>0</v>
      </c>
      <c r="DQ250" s="3">
        <f t="shared" si="167"/>
        <v>0</v>
      </c>
      <c r="DR250" s="3">
        <f t="shared" si="167"/>
        <v>0</v>
      </c>
      <c r="DS250" s="3">
        <f t="shared" si="167"/>
        <v>0</v>
      </c>
      <c r="DT250" s="3">
        <f t="shared" si="167"/>
        <v>0</v>
      </c>
      <c r="DU250" s="3">
        <f t="shared" si="167"/>
        <v>0</v>
      </c>
      <c r="DV250" s="3">
        <f t="shared" si="167"/>
        <v>0</v>
      </c>
      <c r="DW250" s="3">
        <f t="shared" si="167"/>
        <v>0</v>
      </c>
      <c r="DX250" s="3">
        <f t="shared" si="167"/>
        <v>0</v>
      </c>
      <c r="DY250" s="3">
        <f t="shared" si="167"/>
        <v>0</v>
      </c>
      <c r="DZ250" s="3">
        <f t="shared" si="167"/>
        <v>0</v>
      </c>
      <c r="EA250" s="3">
        <f t="shared" si="167"/>
        <v>0</v>
      </c>
      <c r="EB250" s="3">
        <f t="shared" si="167"/>
        <v>0</v>
      </c>
      <c r="EC250" s="3">
        <f t="shared" si="167"/>
        <v>0</v>
      </c>
      <c r="ED250" s="3">
        <f t="shared" si="167"/>
        <v>0</v>
      </c>
      <c r="EE250" s="3">
        <f t="shared" si="167"/>
        <v>0</v>
      </c>
      <c r="EF250" s="3">
        <f t="shared" si="167"/>
        <v>0</v>
      </c>
      <c r="EG250" s="3">
        <f t="shared" si="167"/>
        <v>0</v>
      </c>
      <c r="EH250" s="3">
        <f t="shared" si="167"/>
        <v>0</v>
      </c>
      <c r="EI250" s="3">
        <f t="shared" si="167"/>
        <v>0</v>
      </c>
      <c r="EJ250" s="3">
        <f t="shared" si="167"/>
        <v>0</v>
      </c>
      <c r="EK250" s="3">
        <f t="shared" si="167"/>
        <v>0</v>
      </c>
      <c r="EL250" s="3">
        <f t="shared" si="167"/>
        <v>0</v>
      </c>
      <c r="EM250" s="3">
        <f t="shared" ref="EM250:FR250" si="168">EM256</f>
        <v>0</v>
      </c>
      <c r="EN250" s="3">
        <f t="shared" si="168"/>
        <v>0</v>
      </c>
      <c r="EO250" s="3">
        <f t="shared" si="168"/>
        <v>0</v>
      </c>
      <c r="EP250" s="3">
        <f t="shared" si="168"/>
        <v>0</v>
      </c>
      <c r="EQ250" s="3">
        <f t="shared" si="168"/>
        <v>0</v>
      </c>
      <c r="ER250" s="3">
        <f t="shared" si="168"/>
        <v>0</v>
      </c>
      <c r="ES250" s="3">
        <f t="shared" si="168"/>
        <v>0</v>
      </c>
      <c r="ET250" s="3">
        <f t="shared" si="168"/>
        <v>0</v>
      </c>
      <c r="EU250" s="3">
        <f t="shared" si="168"/>
        <v>0</v>
      </c>
      <c r="EV250" s="3">
        <f t="shared" si="168"/>
        <v>0</v>
      </c>
      <c r="EW250" s="3">
        <f t="shared" si="168"/>
        <v>0</v>
      </c>
      <c r="EX250" s="3">
        <f t="shared" si="168"/>
        <v>0</v>
      </c>
      <c r="EY250" s="3">
        <f t="shared" si="168"/>
        <v>0</v>
      </c>
      <c r="EZ250" s="3">
        <f t="shared" si="168"/>
        <v>0</v>
      </c>
      <c r="FA250" s="3">
        <f t="shared" si="168"/>
        <v>0</v>
      </c>
      <c r="FB250" s="3">
        <f t="shared" si="168"/>
        <v>0</v>
      </c>
      <c r="FC250" s="3">
        <f t="shared" si="168"/>
        <v>0</v>
      </c>
      <c r="FD250" s="3">
        <f t="shared" si="168"/>
        <v>0</v>
      </c>
      <c r="FE250" s="3">
        <f t="shared" si="168"/>
        <v>0</v>
      </c>
      <c r="FF250" s="3">
        <f t="shared" si="168"/>
        <v>0</v>
      </c>
      <c r="FG250" s="3">
        <f t="shared" si="168"/>
        <v>0</v>
      </c>
      <c r="FH250" s="3">
        <f t="shared" si="168"/>
        <v>0</v>
      </c>
      <c r="FI250" s="3">
        <f t="shared" si="168"/>
        <v>0</v>
      </c>
      <c r="FJ250" s="3">
        <f t="shared" si="168"/>
        <v>0</v>
      </c>
      <c r="FK250" s="3">
        <f t="shared" si="168"/>
        <v>0</v>
      </c>
      <c r="FL250" s="3">
        <f t="shared" si="168"/>
        <v>0</v>
      </c>
      <c r="FM250" s="3">
        <f t="shared" si="168"/>
        <v>0</v>
      </c>
      <c r="FN250" s="3">
        <f t="shared" si="168"/>
        <v>0</v>
      </c>
      <c r="FO250" s="3">
        <f t="shared" si="168"/>
        <v>0</v>
      </c>
      <c r="FP250" s="3">
        <f t="shared" si="168"/>
        <v>0</v>
      </c>
      <c r="FQ250" s="3">
        <f t="shared" si="168"/>
        <v>0</v>
      </c>
      <c r="FR250" s="3">
        <f t="shared" si="168"/>
        <v>0</v>
      </c>
      <c r="FS250" s="3">
        <f t="shared" ref="FS250:GX250" si="169">FS256</f>
        <v>0</v>
      </c>
      <c r="FT250" s="3">
        <f t="shared" si="169"/>
        <v>0</v>
      </c>
      <c r="FU250" s="3">
        <f t="shared" si="169"/>
        <v>0</v>
      </c>
      <c r="FV250" s="3">
        <f t="shared" si="169"/>
        <v>0</v>
      </c>
      <c r="FW250" s="3">
        <f t="shared" si="169"/>
        <v>0</v>
      </c>
      <c r="FX250" s="3">
        <f t="shared" si="169"/>
        <v>0</v>
      </c>
      <c r="FY250" s="3">
        <f t="shared" si="169"/>
        <v>0</v>
      </c>
      <c r="FZ250" s="3">
        <f t="shared" si="169"/>
        <v>0</v>
      </c>
      <c r="GA250" s="3">
        <f t="shared" si="169"/>
        <v>0</v>
      </c>
      <c r="GB250" s="3">
        <f t="shared" si="169"/>
        <v>0</v>
      </c>
      <c r="GC250" s="3">
        <f t="shared" si="169"/>
        <v>0</v>
      </c>
      <c r="GD250" s="3">
        <f t="shared" si="169"/>
        <v>0</v>
      </c>
      <c r="GE250" s="3">
        <f t="shared" si="169"/>
        <v>0</v>
      </c>
      <c r="GF250" s="3">
        <f t="shared" si="169"/>
        <v>0</v>
      </c>
      <c r="GG250" s="3">
        <f t="shared" si="169"/>
        <v>0</v>
      </c>
      <c r="GH250" s="3">
        <f t="shared" si="169"/>
        <v>0</v>
      </c>
      <c r="GI250" s="3">
        <f t="shared" si="169"/>
        <v>0</v>
      </c>
      <c r="GJ250" s="3">
        <f t="shared" si="169"/>
        <v>0</v>
      </c>
      <c r="GK250" s="3">
        <f t="shared" si="169"/>
        <v>0</v>
      </c>
      <c r="GL250" s="3">
        <f t="shared" si="169"/>
        <v>0</v>
      </c>
      <c r="GM250" s="3">
        <f t="shared" si="169"/>
        <v>0</v>
      </c>
      <c r="GN250" s="3">
        <f t="shared" si="169"/>
        <v>0</v>
      </c>
      <c r="GO250" s="3">
        <f t="shared" si="169"/>
        <v>0</v>
      </c>
      <c r="GP250" s="3">
        <f t="shared" si="169"/>
        <v>0</v>
      </c>
      <c r="GQ250" s="3">
        <f t="shared" si="169"/>
        <v>0</v>
      </c>
      <c r="GR250" s="3">
        <f t="shared" si="169"/>
        <v>0</v>
      </c>
      <c r="GS250" s="3">
        <f t="shared" si="169"/>
        <v>0</v>
      </c>
      <c r="GT250" s="3">
        <f t="shared" si="169"/>
        <v>0</v>
      </c>
      <c r="GU250" s="3">
        <f t="shared" si="169"/>
        <v>0</v>
      </c>
      <c r="GV250" s="3">
        <f t="shared" si="169"/>
        <v>0</v>
      </c>
      <c r="GW250" s="3">
        <f t="shared" si="169"/>
        <v>0</v>
      </c>
      <c r="GX250" s="3">
        <f t="shared" si="169"/>
        <v>0</v>
      </c>
    </row>
    <row r="252" spans="1:245" x14ac:dyDescent="0.2">
      <c r="A252">
        <v>17</v>
      </c>
      <c r="B252">
        <v>1</v>
      </c>
      <c r="E252" t="s">
        <v>334</v>
      </c>
      <c r="F252" t="s">
        <v>335</v>
      </c>
      <c r="G252" t="s">
        <v>336</v>
      </c>
      <c r="H252" t="s">
        <v>220</v>
      </c>
      <c r="I252">
        <v>1</v>
      </c>
      <c r="J252">
        <v>0</v>
      </c>
      <c r="K252">
        <v>1</v>
      </c>
      <c r="O252">
        <f>ROUND(CP252,2)</f>
        <v>1606651.99</v>
      </c>
      <c r="P252">
        <f>ROUND(CQ252*I252,2)</f>
        <v>1606651.99</v>
      </c>
      <c r="Q252">
        <f>ROUND(CR252*I252,2)</f>
        <v>0</v>
      </c>
      <c r="R252">
        <f>ROUND(CS252*I252,2)</f>
        <v>0</v>
      </c>
      <c r="S252">
        <f>ROUND(CT252*I252,2)</f>
        <v>0</v>
      </c>
      <c r="T252">
        <f>ROUND(CU252*I252,2)</f>
        <v>0</v>
      </c>
      <c r="U252">
        <f>ROUND(CV252*I252,7)</f>
        <v>0</v>
      </c>
      <c r="V252">
        <f>ROUND(CW252*I252,7)</f>
        <v>0</v>
      </c>
      <c r="W252">
        <f>ROUND(CX252*I252,2)</f>
        <v>0</v>
      </c>
      <c r="X252">
        <f t="shared" ref="X252:Y254" si="170">ROUND(CY252,2)</f>
        <v>0</v>
      </c>
      <c r="Y252">
        <f t="shared" si="170"/>
        <v>0</v>
      </c>
      <c r="AA252">
        <v>65170852</v>
      </c>
      <c r="AB252">
        <f>ROUND((AC252+AD252+AF252),6)</f>
        <v>1606651.99</v>
      </c>
      <c r="AC252">
        <f t="shared" ref="AC252:AF254" si="171">ROUND((ES252),6)</f>
        <v>1606651.99</v>
      </c>
      <c r="AD252">
        <f t="shared" si="171"/>
        <v>0</v>
      </c>
      <c r="AE252">
        <f t="shared" si="171"/>
        <v>0</v>
      </c>
      <c r="AF252">
        <f t="shared" si="171"/>
        <v>0</v>
      </c>
      <c r="AG252">
        <f>ROUND((AP252),6)</f>
        <v>0</v>
      </c>
      <c r="AH252">
        <f t="shared" ref="AH252:AI254" si="172">(EW252)</f>
        <v>0</v>
      </c>
      <c r="AI252">
        <f t="shared" si="172"/>
        <v>0</v>
      </c>
      <c r="AJ252">
        <f>(AS252)</f>
        <v>0</v>
      </c>
      <c r="AK252">
        <v>1606651.99</v>
      </c>
      <c r="AL252">
        <v>1606651.99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3</v>
      </c>
      <c r="BE252" t="s">
        <v>3</v>
      </c>
      <c r="BF252" t="s">
        <v>3</v>
      </c>
      <c r="BG252" t="s">
        <v>3</v>
      </c>
      <c r="BH252">
        <v>3</v>
      </c>
      <c r="BI252">
        <v>0</v>
      </c>
      <c r="BJ252" t="s">
        <v>3</v>
      </c>
      <c r="BM252">
        <v>1617</v>
      </c>
      <c r="BN252">
        <v>0</v>
      </c>
      <c r="BO252" t="s">
        <v>3</v>
      </c>
      <c r="BP252">
        <v>0</v>
      </c>
      <c r="BQ252">
        <v>0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3</v>
      </c>
      <c r="BZ252">
        <v>0</v>
      </c>
      <c r="CA252">
        <v>0</v>
      </c>
      <c r="CB252" t="s">
        <v>3</v>
      </c>
      <c r="CE252">
        <v>0</v>
      </c>
      <c r="CF252">
        <v>0</v>
      </c>
      <c r="CG252">
        <v>0</v>
      </c>
      <c r="CM252">
        <v>0</v>
      </c>
      <c r="CN252" t="s">
        <v>3</v>
      </c>
      <c r="CO252">
        <v>0</v>
      </c>
      <c r="CP252">
        <f>(P252+Q252+S252+R252)</f>
        <v>1606651.99</v>
      </c>
      <c r="CQ252">
        <f t="shared" ref="CQ252:CR254" si="173">ROUND(AL252,2)</f>
        <v>1606651.99</v>
      </c>
      <c r="CR252">
        <f t="shared" si="173"/>
        <v>0</v>
      </c>
      <c r="CS252">
        <f>ROUND(AN252*BS252,2)</f>
        <v>0</v>
      </c>
      <c r="CT252">
        <f>ROUND(AO252*BA252,2)</f>
        <v>0</v>
      </c>
      <c r="CU252">
        <f t="shared" ref="CU252:CX254" si="174">AG252</f>
        <v>0</v>
      </c>
      <c r="CV252">
        <f t="shared" si="174"/>
        <v>0</v>
      </c>
      <c r="CW252">
        <f t="shared" si="174"/>
        <v>0</v>
      </c>
      <c r="CX252">
        <f t="shared" si="174"/>
        <v>0</v>
      </c>
      <c r="CY252">
        <f>0</f>
        <v>0</v>
      </c>
      <c r="CZ252">
        <f>0</f>
        <v>0</v>
      </c>
      <c r="DC252" t="s">
        <v>3</v>
      </c>
      <c r="DD252" t="s">
        <v>3</v>
      </c>
      <c r="DE252" t="s">
        <v>3</v>
      </c>
      <c r="DF252" t="s">
        <v>3</v>
      </c>
      <c r="DG252" t="s">
        <v>3</v>
      </c>
      <c r="DH252" t="s">
        <v>3</v>
      </c>
      <c r="DI252" t="s">
        <v>3</v>
      </c>
      <c r="DJ252" t="s">
        <v>3</v>
      </c>
      <c r="DK252" t="s">
        <v>3</v>
      </c>
      <c r="DL252" t="s">
        <v>3</v>
      </c>
      <c r="DM252" t="s">
        <v>3</v>
      </c>
      <c r="DN252">
        <v>0</v>
      </c>
      <c r="DO252">
        <v>0</v>
      </c>
      <c r="DP252">
        <v>1</v>
      </c>
      <c r="DQ252">
        <v>1</v>
      </c>
      <c r="DU252">
        <v>1013</v>
      </c>
      <c r="DV252" t="s">
        <v>220</v>
      </c>
      <c r="DW252" t="s">
        <v>220</v>
      </c>
      <c r="DX252">
        <v>1</v>
      </c>
      <c r="DZ252" t="s">
        <v>3</v>
      </c>
      <c r="EA252" t="s">
        <v>3</v>
      </c>
      <c r="EB252" t="s">
        <v>3</v>
      </c>
      <c r="EC252" t="s">
        <v>3</v>
      </c>
      <c r="EE252">
        <v>0</v>
      </c>
      <c r="EF252">
        <v>0</v>
      </c>
      <c r="EG252" t="s">
        <v>3</v>
      </c>
      <c r="EH252">
        <v>0</v>
      </c>
      <c r="EI252" t="s">
        <v>3</v>
      </c>
      <c r="EJ252">
        <v>0</v>
      </c>
      <c r="EK252">
        <v>1617</v>
      </c>
      <c r="EL252" t="s">
        <v>3</v>
      </c>
      <c r="EM252" t="s">
        <v>3</v>
      </c>
      <c r="EO252" t="s">
        <v>3</v>
      </c>
      <c r="EQ252">
        <v>0</v>
      </c>
      <c r="ER252">
        <v>1606651.99</v>
      </c>
      <c r="ES252">
        <v>1606651.99</v>
      </c>
      <c r="ET252">
        <v>0</v>
      </c>
      <c r="EU252">
        <v>0</v>
      </c>
      <c r="EV252">
        <v>0</v>
      </c>
      <c r="EW252">
        <v>0</v>
      </c>
      <c r="EX252">
        <v>0</v>
      </c>
      <c r="EY252">
        <v>0</v>
      </c>
      <c r="EZ252">
        <v>5</v>
      </c>
      <c r="FC252">
        <v>1</v>
      </c>
      <c r="FD252">
        <v>18</v>
      </c>
      <c r="FF252">
        <v>1850271</v>
      </c>
      <c r="FQ252">
        <v>0</v>
      </c>
      <c r="FR252">
        <f>ROUND(IF(BI252=3,GM252,0),2)</f>
        <v>0</v>
      </c>
      <c r="FS252">
        <v>0</v>
      </c>
      <c r="FX252">
        <v>0</v>
      </c>
      <c r="FY252">
        <v>0</v>
      </c>
      <c r="GA252" t="s">
        <v>337</v>
      </c>
      <c r="GD252">
        <v>1</v>
      </c>
      <c r="GF252">
        <v>-2034348986</v>
      </c>
      <c r="GG252">
        <v>2</v>
      </c>
      <c r="GH252">
        <v>3</v>
      </c>
      <c r="GI252">
        <v>-2</v>
      </c>
      <c r="GJ252">
        <v>0</v>
      </c>
      <c r="GK252">
        <v>0</v>
      </c>
      <c r="GL252">
        <f>ROUND(IF(AND(BH252=3,BI252=3,FS252&lt;&gt;0),P252,0),2)</f>
        <v>0</v>
      </c>
      <c r="GM252">
        <f>ROUND(O252+X252+Y252,2)+GX252</f>
        <v>1606651.99</v>
      </c>
      <c r="GN252">
        <f>IF(OR(BI252=0,BI252=1),GM252-GX252,0)</f>
        <v>1606651.99</v>
      </c>
      <c r="GO252">
        <f>IF(BI252=2,GM252-GX252,0)</f>
        <v>0</v>
      </c>
      <c r="GP252">
        <f>IF(BI252=4,GM252-GX252,0)</f>
        <v>0</v>
      </c>
      <c r="GR252">
        <v>1</v>
      </c>
      <c r="GS252">
        <v>1</v>
      </c>
      <c r="GT252">
        <v>0</v>
      </c>
      <c r="GU252" t="s">
        <v>3</v>
      </c>
      <c r="GV252">
        <f>ROUND((GT252),6)</f>
        <v>0</v>
      </c>
      <c r="GW252">
        <v>1</v>
      </c>
      <c r="GX252">
        <f>ROUND(HC252*I252,2)</f>
        <v>0</v>
      </c>
      <c r="HA252">
        <v>0</v>
      </c>
      <c r="HB252">
        <v>0</v>
      </c>
      <c r="HC252">
        <f>GV252*GW252</f>
        <v>0</v>
      </c>
      <c r="HE252" t="s">
        <v>338</v>
      </c>
      <c r="HF252" t="s">
        <v>339</v>
      </c>
      <c r="HG252">
        <f>ROUND(ROUND(AL252,2)*I252,2)</f>
        <v>1606651.99</v>
      </c>
      <c r="HM252" t="s">
        <v>3</v>
      </c>
      <c r="HN252" t="s">
        <v>3</v>
      </c>
      <c r="HO252" t="s">
        <v>3</v>
      </c>
      <c r="HP252" t="s">
        <v>3</v>
      </c>
      <c r="HQ252" t="s">
        <v>3</v>
      </c>
      <c r="IK252">
        <v>0</v>
      </c>
    </row>
    <row r="253" spans="1:245" x14ac:dyDescent="0.2">
      <c r="A253">
        <v>17</v>
      </c>
      <c r="B253">
        <v>1</v>
      </c>
      <c r="E253" t="s">
        <v>340</v>
      </c>
      <c r="F253" t="s">
        <v>335</v>
      </c>
      <c r="G253" t="s">
        <v>341</v>
      </c>
      <c r="H253" t="s">
        <v>220</v>
      </c>
      <c r="I253">
        <v>1</v>
      </c>
      <c r="J253">
        <v>0</v>
      </c>
      <c r="K253">
        <v>1</v>
      </c>
      <c r="O253">
        <f>ROUND(CP253,2)</f>
        <v>246015.61</v>
      </c>
      <c r="P253">
        <f>ROUND(CQ253*I253,2)</f>
        <v>246015.61</v>
      </c>
      <c r="Q253">
        <f>ROUND(CR253*I253,2)</f>
        <v>0</v>
      </c>
      <c r="R253">
        <f>ROUND(CS253*I253,2)</f>
        <v>0</v>
      </c>
      <c r="S253">
        <f>ROUND(CT253*I253,2)</f>
        <v>0</v>
      </c>
      <c r="T253">
        <f>ROUND(CU253*I253,2)</f>
        <v>0</v>
      </c>
      <c r="U253">
        <f>ROUND(CV253*I253,7)</f>
        <v>0</v>
      </c>
      <c r="V253">
        <f>ROUND(CW253*I253,7)</f>
        <v>0</v>
      </c>
      <c r="W253">
        <f>ROUND(CX253*I253,2)</f>
        <v>0</v>
      </c>
      <c r="X253">
        <f t="shared" si="170"/>
        <v>0</v>
      </c>
      <c r="Y253">
        <f t="shared" si="170"/>
        <v>0</v>
      </c>
      <c r="AA253">
        <v>65170852</v>
      </c>
      <c r="AB253">
        <f>ROUND((AC253+AD253+AF253),6)</f>
        <v>246015.61</v>
      </c>
      <c r="AC253">
        <f t="shared" si="171"/>
        <v>246015.61</v>
      </c>
      <c r="AD253">
        <f t="shared" si="171"/>
        <v>0</v>
      </c>
      <c r="AE253">
        <f t="shared" si="171"/>
        <v>0</v>
      </c>
      <c r="AF253">
        <f t="shared" si="171"/>
        <v>0</v>
      </c>
      <c r="AG253">
        <f>ROUND((AP253),6)</f>
        <v>0</v>
      </c>
      <c r="AH253">
        <f t="shared" si="172"/>
        <v>0</v>
      </c>
      <c r="AI253">
        <f t="shared" si="172"/>
        <v>0</v>
      </c>
      <c r="AJ253">
        <f>(AS253)</f>
        <v>0</v>
      </c>
      <c r="AK253">
        <v>246015.61</v>
      </c>
      <c r="AL253">
        <v>246015.61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3</v>
      </c>
      <c r="BE253" t="s">
        <v>3</v>
      </c>
      <c r="BF253" t="s">
        <v>3</v>
      </c>
      <c r="BG253" t="s">
        <v>3</v>
      </c>
      <c r="BH253">
        <v>3</v>
      </c>
      <c r="BI253">
        <v>0</v>
      </c>
      <c r="BJ253" t="s">
        <v>3</v>
      </c>
      <c r="BM253">
        <v>1617</v>
      </c>
      <c r="BN253">
        <v>0</v>
      </c>
      <c r="BO253" t="s">
        <v>3</v>
      </c>
      <c r="BP253">
        <v>0</v>
      </c>
      <c r="BQ253">
        <v>0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3</v>
      </c>
      <c r="BZ253">
        <v>0</v>
      </c>
      <c r="CA253">
        <v>0</v>
      </c>
      <c r="CB253" t="s">
        <v>3</v>
      </c>
      <c r="CE253">
        <v>0</v>
      </c>
      <c r="CF253">
        <v>0</v>
      </c>
      <c r="CG253">
        <v>0</v>
      </c>
      <c r="CM253">
        <v>0</v>
      </c>
      <c r="CN253" t="s">
        <v>3</v>
      </c>
      <c r="CO253">
        <v>0</v>
      </c>
      <c r="CP253">
        <f>(P253+Q253+S253+R253)</f>
        <v>246015.61</v>
      </c>
      <c r="CQ253">
        <f t="shared" si="173"/>
        <v>246015.61</v>
      </c>
      <c r="CR253">
        <f t="shared" si="173"/>
        <v>0</v>
      </c>
      <c r="CS253">
        <f>ROUND(AN253*BS253,2)</f>
        <v>0</v>
      </c>
      <c r="CT253">
        <f>ROUND(AO253*BA253,2)</f>
        <v>0</v>
      </c>
      <c r="CU253">
        <f t="shared" si="174"/>
        <v>0</v>
      </c>
      <c r="CV253">
        <f t="shared" si="174"/>
        <v>0</v>
      </c>
      <c r="CW253">
        <f t="shared" si="174"/>
        <v>0</v>
      </c>
      <c r="CX253">
        <f t="shared" si="174"/>
        <v>0</v>
      </c>
      <c r="CY253">
        <f>0</f>
        <v>0</v>
      </c>
      <c r="CZ253">
        <f>0</f>
        <v>0</v>
      </c>
      <c r="DC253" t="s">
        <v>3</v>
      </c>
      <c r="DD253" t="s">
        <v>3</v>
      </c>
      <c r="DE253" t="s">
        <v>3</v>
      </c>
      <c r="DF253" t="s">
        <v>3</v>
      </c>
      <c r="DG253" t="s">
        <v>3</v>
      </c>
      <c r="DH253" t="s">
        <v>3</v>
      </c>
      <c r="DI253" t="s">
        <v>3</v>
      </c>
      <c r="DJ253" t="s">
        <v>3</v>
      </c>
      <c r="DK253" t="s">
        <v>3</v>
      </c>
      <c r="DL253" t="s">
        <v>3</v>
      </c>
      <c r="DM253" t="s">
        <v>3</v>
      </c>
      <c r="DN253">
        <v>0</v>
      </c>
      <c r="DO253">
        <v>0</v>
      </c>
      <c r="DP253">
        <v>1</v>
      </c>
      <c r="DQ253">
        <v>1</v>
      </c>
      <c r="DU253">
        <v>1013</v>
      </c>
      <c r="DV253" t="s">
        <v>220</v>
      </c>
      <c r="DW253" t="s">
        <v>220</v>
      </c>
      <c r="DX253">
        <v>1</v>
      </c>
      <c r="DZ253" t="s">
        <v>3</v>
      </c>
      <c r="EA253" t="s">
        <v>3</v>
      </c>
      <c r="EB253" t="s">
        <v>3</v>
      </c>
      <c r="EC253" t="s">
        <v>3</v>
      </c>
      <c r="EE253">
        <v>0</v>
      </c>
      <c r="EF253">
        <v>0</v>
      </c>
      <c r="EG253" t="s">
        <v>3</v>
      </c>
      <c r="EH253">
        <v>0</v>
      </c>
      <c r="EI253" t="s">
        <v>3</v>
      </c>
      <c r="EJ253">
        <v>0</v>
      </c>
      <c r="EK253">
        <v>1617</v>
      </c>
      <c r="EL253" t="s">
        <v>3</v>
      </c>
      <c r="EM253" t="s">
        <v>3</v>
      </c>
      <c r="EO253" t="s">
        <v>3</v>
      </c>
      <c r="EQ253">
        <v>0</v>
      </c>
      <c r="ER253">
        <v>246015.61</v>
      </c>
      <c r="ES253">
        <v>246015.61</v>
      </c>
      <c r="ET253">
        <v>0</v>
      </c>
      <c r="EU253">
        <v>0</v>
      </c>
      <c r="EV253">
        <v>0</v>
      </c>
      <c r="EW253">
        <v>0</v>
      </c>
      <c r="EX253">
        <v>0</v>
      </c>
      <c r="EY253">
        <v>0</v>
      </c>
      <c r="EZ253">
        <v>5</v>
      </c>
      <c r="FC253">
        <v>1</v>
      </c>
      <c r="FD253">
        <v>18</v>
      </c>
      <c r="FF253">
        <v>283319.32</v>
      </c>
      <c r="FQ253">
        <v>0</v>
      </c>
      <c r="FR253">
        <f>ROUND(IF(BI253=3,GM253,0),2)</f>
        <v>0</v>
      </c>
      <c r="FS253">
        <v>0</v>
      </c>
      <c r="FX253">
        <v>0</v>
      </c>
      <c r="FY253">
        <v>0</v>
      </c>
      <c r="GA253" t="s">
        <v>342</v>
      </c>
      <c r="GD253">
        <v>1</v>
      </c>
      <c r="GF253">
        <v>952805175</v>
      </c>
      <c r="GG253">
        <v>2</v>
      </c>
      <c r="GH253">
        <v>3</v>
      </c>
      <c r="GI253">
        <v>-2</v>
      </c>
      <c r="GJ253">
        <v>0</v>
      </c>
      <c r="GK253">
        <v>0</v>
      </c>
      <c r="GL253">
        <f>ROUND(IF(AND(BH253=3,BI253=3,FS253&lt;&gt;0),P253,0),2)</f>
        <v>0</v>
      </c>
      <c r="GM253">
        <f>ROUND(O253+X253+Y253,2)+GX253</f>
        <v>246015.61</v>
      </c>
      <c r="GN253">
        <f>IF(OR(BI253=0,BI253=1),GM253-GX253,0)</f>
        <v>246015.61</v>
      </c>
      <c r="GO253">
        <f>IF(BI253=2,GM253-GX253,0)</f>
        <v>0</v>
      </c>
      <c r="GP253">
        <f>IF(BI253=4,GM253-GX253,0)</f>
        <v>0</v>
      </c>
      <c r="GR253">
        <v>1</v>
      </c>
      <c r="GS253">
        <v>1</v>
      </c>
      <c r="GT253">
        <v>0</v>
      </c>
      <c r="GU253" t="s">
        <v>3</v>
      </c>
      <c r="GV253">
        <f>ROUND((GT253),6)</f>
        <v>0</v>
      </c>
      <c r="GW253">
        <v>1</v>
      </c>
      <c r="GX253">
        <f>ROUND(HC253*I253,2)</f>
        <v>0</v>
      </c>
      <c r="HA253">
        <v>0</v>
      </c>
      <c r="HB253">
        <v>0</v>
      </c>
      <c r="HC253">
        <f>GV253*GW253</f>
        <v>0</v>
      </c>
      <c r="HE253" t="s">
        <v>338</v>
      </c>
      <c r="HF253" t="s">
        <v>339</v>
      </c>
      <c r="HG253">
        <f>ROUND(ROUND(AL253,2)*I253,2)</f>
        <v>246015.61</v>
      </c>
      <c r="HM253" t="s">
        <v>3</v>
      </c>
      <c r="HN253" t="s">
        <v>3</v>
      </c>
      <c r="HO253" t="s">
        <v>3</v>
      </c>
      <c r="HP253" t="s">
        <v>3</v>
      </c>
      <c r="HQ253" t="s">
        <v>3</v>
      </c>
      <c r="IK253">
        <v>0</v>
      </c>
    </row>
    <row r="254" spans="1:245" x14ac:dyDescent="0.2">
      <c r="A254">
        <v>17</v>
      </c>
      <c r="B254">
        <v>1</v>
      </c>
      <c r="E254" t="s">
        <v>343</v>
      </c>
      <c r="F254" t="s">
        <v>335</v>
      </c>
      <c r="G254" t="s">
        <v>344</v>
      </c>
      <c r="H254" t="s">
        <v>345</v>
      </c>
      <c r="I254">
        <v>1</v>
      </c>
      <c r="J254">
        <v>0</v>
      </c>
      <c r="K254">
        <v>1</v>
      </c>
      <c r="O254">
        <f>ROUND(CP254,2)</f>
        <v>40263.870000000003</v>
      </c>
      <c r="P254">
        <f>ROUND(CQ254*I254,2)</f>
        <v>40263.870000000003</v>
      </c>
      <c r="Q254">
        <f>ROUND(CR254*I254,2)</f>
        <v>0</v>
      </c>
      <c r="R254">
        <f>ROUND(CS254*I254,2)</f>
        <v>0</v>
      </c>
      <c r="S254">
        <f>ROUND(CT254*I254,2)</f>
        <v>0</v>
      </c>
      <c r="T254">
        <f>ROUND(CU254*I254,2)</f>
        <v>0</v>
      </c>
      <c r="U254">
        <f>ROUND(CV254*I254,7)</f>
        <v>0</v>
      </c>
      <c r="V254">
        <f>ROUND(CW254*I254,7)</f>
        <v>0</v>
      </c>
      <c r="W254">
        <f>ROUND(CX254*I254,2)</f>
        <v>0</v>
      </c>
      <c r="X254">
        <f t="shared" si="170"/>
        <v>0</v>
      </c>
      <c r="Y254">
        <f t="shared" si="170"/>
        <v>0</v>
      </c>
      <c r="AA254">
        <v>65170852</v>
      </c>
      <c r="AB254">
        <f>ROUND((AC254+AD254+AF254),6)</f>
        <v>40263.870000000003</v>
      </c>
      <c r="AC254">
        <f t="shared" si="171"/>
        <v>40263.870000000003</v>
      </c>
      <c r="AD254">
        <f t="shared" si="171"/>
        <v>0</v>
      </c>
      <c r="AE254">
        <f t="shared" si="171"/>
        <v>0</v>
      </c>
      <c r="AF254">
        <f t="shared" si="171"/>
        <v>0</v>
      </c>
      <c r="AG254">
        <f>ROUND((AP254),6)</f>
        <v>0</v>
      </c>
      <c r="AH254">
        <f t="shared" si="172"/>
        <v>0</v>
      </c>
      <c r="AI254">
        <f t="shared" si="172"/>
        <v>0</v>
      </c>
      <c r="AJ254">
        <f>(AS254)</f>
        <v>0</v>
      </c>
      <c r="AK254">
        <v>40263.869999999995</v>
      </c>
      <c r="AL254">
        <v>40263.869999999995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3</v>
      </c>
      <c r="BE254" t="s">
        <v>3</v>
      </c>
      <c r="BF254" t="s">
        <v>3</v>
      </c>
      <c r="BG254" t="s">
        <v>3</v>
      </c>
      <c r="BH254">
        <v>3</v>
      </c>
      <c r="BI254">
        <v>0</v>
      </c>
      <c r="BJ254" t="s">
        <v>3</v>
      </c>
      <c r="BM254">
        <v>1617</v>
      </c>
      <c r="BN254">
        <v>0</v>
      </c>
      <c r="BO254" t="s">
        <v>3</v>
      </c>
      <c r="BP254">
        <v>0</v>
      </c>
      <c r="BQ254">
        <v>0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3</v>
      </c>
      <c r="BZ254">
        <v>0</v>
      </c>
      <c r="CA254">
        <v>0</v>
      </c>
      <c r="CB254" t="s">
        <v>3</v>
      </c>
      <c r="CE254">
        <v>0</v>
      </c>
      <c r="CF254">
        <v>0</v>
      </c>
      <c r="CG254">
        <v>0</v>
      </c>
      <c r="CM254">
        <v>0</v>
      </c>
      <c r="CN254" t="s">
        <v>3</v>
      </c>
      <c r="CO254">
        <v>0</v>
      </c>
      <c r="CP254">
        <f>(P254+Q254+S254+R254)</f>
        <v>40263.870000000003</v>
      </c>
      <c r="CQ254">
        <f t="shared" si="173"/>
        <v>40263.870000000003</v>
      </c>
      <c r="CR254">
        <f t="shared" si="173"/>
        <v>0</v>
      </c>
      <c r="CS254">
        <f>ROUND(AN254*BS254,2)</f>
        <v>0</v>
      </c>
      <c r="CT254">
        <f>ROUND(AO254*BA254,2)</f>
        <v>0</v>
      </c>
      <c r="CU254">
        <f t="shared" si="174"/>
        <v>0</v>
      </c>
      <c r="CV254">
        <f t="shared" si="174"/>
        <v>0</v>
      </c>
      <c r="CW254">
        <f t="shared" si="174"/>
        <v>0</v>
      </c>
      <c r="CX254">
        <f t="shared" si="174"/>
        <v>0</v>
      </c>
      <c r="CY254">
        <f>0</f>
        <v>0</v>
      </c>
      <c r="CZ254">
        <f>0</f>
        <v>0</v>
      </c>
      <c r="DC254" t="s">
        <v>3</v>
      </c>
      <c r="DD254" t="s">
        <v>3</v>
      </c>
      <c r="DE254" t="s">
        <v>3</v>
      </c>
      <c r="DF254" t="s">
        <v>3</v>
      </c>
      <c r="DG254" t="s">
        <v>3</v>
      </c>
      <c r="DH254" t="s">
        <v>3</v>
      </c>
      <c r="DI254" t="s">
        <v>3</v>
      </c>
      <c r="DJ254" t="s">
        <v>3</v>
      </c>
      <c r="DK254" t="s">
        <v>3</v>
      </c>
      <c r="DL254" t="s">
        <v>3</v>
      </c>
      <c r="DM254" t="s">
        <v>3</v>
      </c>
      <c r="DN254">
        <v>0</v>
      </c>
      <c r="DO254">
        <v>0</v>
      </c>
      <c r="DP254">
        <v>1</v>
      </c>
      <c r="DQ254">
        <v>1</v>
      </c>
      <c r="DU254">
        <v>1013</v>
      </c>
      <c r="DV254" t="s">
        <v>345</v>
      </c>
      <c r="DW254" t="s">
        <v>345</v>
      </c>
      <c r="DX254">
        <v>1</v>
      </c>
      <c r="DZ254" t="s">
        <v>3</v>
      </c>
      <c r="EA254" t="s">
        <v>3</v>
      </c>
      <c r="EB254" t="s">
        <v>3</v>
      </c>
      <c r="EC254" t="s">
        <v>3</v>
      </c>
      <c r="EE254">
        <v>0</v>
      </c>
      <c r="EF254">
        <v>0</v>
      </c>
      <c r="EG254" t="s">
        <v>3</v>
      </c>
      <c r="EH254">
        <v>0</v>
      </c>
      <c r="EI254" t="s">
        <v>3</v>
      </c>
      <c r="EJ254">
        <v>0</v>
      </c>
      <c r="EK254">
        <v>1617</v>
      </c>
      <c r="EL254" t="s">
        <v>3</v>
      </c>
      <c r="EM254" t="s">
        <v>3</v>
      </c>
      <c r="EO254" t="s">
        <v>3</v>
      </c>
      <c r="EQ254">
        <v>0</v>
      </c>
      <c r="ER254">
        <v>40263.869999999995</v>
      </c>
      <c r="ES254">
        <v>40263.869999999995</v>
      </c>
      <c r="ET254">
        <v>0</v>
      </c>
      <c r="EU254">
        <v>0</v>
      </c>
      <c r="EV254">
        <v>0</v>
      </c>
      <c r="EW254">
        <v>0</v>
      </c>
      <c r="EX254">
        <v>0</v>
      </c>
      <c r="EY254">
        <v>0</v>
      </c>
      <c r="EZ254">
        <v>5</v>
      </c>
      <c r="FC254">
        <v>1</v>
      </c>
      <c r="FD254">
        <v>18</v>
      </c>
      <c r="FF254">
        <v>46369.14</v>
      </c>
      <c r="FQ254">
        <v>0</v>
      </c>
      <c r="FR254">
        <f>ROUND(IF(BI254=3,GM254,0),2)</f>
        <v>0</v>
      </c>
      <c r="FS254">
        <v>0</v>
      </c>
      <c r="FX254">
        <v>0</v>
      </c>
      <c r="FY254">
        <v>0</v>
      </c>
      <c r="GA254" t="s">
        <v>346</v>
      </c>
      <c r="GD254">
        <v>1</v>
      </c>
      <c r="GF254">
        <v>-105812603</v>
      </c>
      <c r="GG254">
        <v>2</v>
      </c>
      <c r="GH254">
        <v>3</v>
      </c>
      <c r="GI254">
        <v>-2</v>
      </c>
      <c r="GJ254">
        <v>0</v>
      </c>
      <c r="GK254">
        <v>0</v>
      </c>
      <c r="GL254">
        <f>ROUND(IF(AND(BH254=3,BI254=3,FS254&lt;&gt;0),P254,0),2)</f>
        <v>0</v>
      </c>
      <c r="GM254">
        <f>ROUND(O254+X254+Y254,2)+GX254</f>
        <v>40263.870000000003</v>
      </c>
      <c r="GN254">
        <f>IF(OR(BI254=0,BI254=1),GM254-GX254,0)</f>
        <v>40263.870000000003</v>
      </c>
      <c r="GO254">
        <f>IF(BI254=2,GM254-GX254,0)</f>
        <v>0</v>
      </c>
      <c r="GP254">
        <f>IF(BI254=4,GM254-GX254,0)</f>
        <v>0</v>
      </c>
      <c r="GR254">
        <v>1</v>
      </c>
      <c r="GS254">
        <v>1</v>
      </c>
      <c r="GT254">
        <v>0</v>
      </c>
      <c r="GU254" t="s">
        <v>3</v>
      </c>
      <c r="GV254">
        <f>ROUND((GT254),6)</f>
        <v>0</v>
      </c>
      <c r="GW254">
        <v>1</v>
      </c>
      <c r="GX254">
        <f>ROUND(HC254*I254,2)</f>
        <v>0</v>
      </c>
      <c r="HA254">
        <v>0</v>
      </c>
      <c r="HB254">
        <v>0</v>
      </c>
      <c r="HC254">
        <f>GV254*GW254</f>
        <v>0</v>
      </c>
      <c r="HE254" t="s">
        <v>338</v>
      </c>
      <c r="HF254" t="s">
        <v>339</v>
      </c>
      <c r="HG254">
        <f>ROUND(ROUND(AL254,2)*I254,2)</f>
        <v>40263.870000000003</v>
      </c>
      <c r="HM254" t="s">
        <v>3</v>
      </c>
      <c r="HN254" t="s">
        <v>3</v>
      </c>
      <c r="HO254" t="s">
        <v>3</v>
      </c>
      <c r="HP254" t="s">
        <v>3</v>
      </c>
      <c r="HQ254" t="s">
        <v>3</v>
      </c>
      <c r="IK254">
        <v>0</v>
      </c>
    </row>
    <row r="256" spans="1:245" x14ac:dyDescent="0.2">
      <c r="A256" s="2">
        <v>51</v>
      </c>
      <c r="B256" s="2">
        <f>B248</f>
        <v>1</v>
      </c>
      <c r="C256" s="2">
        <f>A248</f>
        <v>4</v>
      </c>
      <c r="D256" s="2">
        <f>ROW(A248)</f>
        <v>248</v>
      </c>
      <c r="E256" s="2"/>
      <c r="F256" s="2" t="str">
        <f>IF(F248&lt;&gt;"",F248,"")</f>
        <v>Новый раздел</v>
      </c>
      <c r="G256" s="2" t="str">
        <f>IF(G248&lt;&gt;"",G248,"")</f>
        <v>Оборудование</v>
      </c>
      <c r="H256" s="2">
        <v>0</v>
      </c>
      <c r="I256" s="2"/>
      <c r="J256" s="2"/>
      <c r="K256" s="2"/>
      <c r="L256" s="2"/>
      <c r="M256" s="2"/>
      <c r="N256" s="2"/>
      <c r="O256" s="2">
        <f t="shared" ref="O256:T256" si="175">ROUND(AB256,2)</f>
        <v>1892931.47</v>
      </c>
      <c r="P256" s="2">
        <f t="shared" si="175"/>
        <v>1892931.47</v>
      </c>
      <c r="Q256" s="2">
        <f t="shared" si="175"/>
        <v>0</v>
      </c>
      <c r="R256" s="2">
        <f t="shared" si="175"/>
        <v>0</v>
      </c>
      <c r="S256" s="2">
        <f t="shared" si="175"/>
        <v>0</v>
      </c>
      <c r="T256" s="2">
        <f t="shared" si="175"/>
        <v>0</v>
      </c>
      <c r="U256" s="2">
        <f>AH256</f>
        <v>0</v>
      </c>
      <c r="V256" s="2">
        <f>AI256</f>
        <v>0</v>
      </c>
      <c r="W256" s="2">
        <f>ROUND(AJ256,2)</f>
        <v>0</v>
      </c>
      <c r="X256" s="2">
        <f>ROUND(AK256,2)</f>
        <v>0</v>
      </c>
      <c r="Y256" s="2">
        <f>ROUND(AL256,2)</f>
        <v>0</v>
      </c>
      <c r="Z256" s="2"/>
      <c r="AA256" s="2"/>
      <c r="AB256" s="2">
        <f>ROUND(SUMIF(AA252:AA254,"=65170852",O252:O254),2)</f>
        <v>1892931.47</v>
      </c>
      <c r="AC256" s="2">
        <f>ROUND(SUMIF(AA252:AA254,"=65170852",P252:P254),2)</f>
        <v>1892931.47</v>
      </c>
      <c r="AD256" s="2">
        <f>ROUND(SUMIF(AA252:AA254,"=65170852",Q252:Q254),2)</f>
        <v>0</v>
      </c>
      <c r="AE256" s="2">
        <f>ROUND(SUMIF(AA252:AA254,"=65170852",R252:R254),2)</f>
        <v>0</v>
      </c>
      <c r="AF256" s="2">
        <f>ROUND(SUMIF(AA252:AA254,"=65170852",S252:S254),2)</f>
        <v>0</v>
      </c>
      <c r="AG256" s="2">
        <f>ROUND(SUMIF(AA252:AA254,"=65170852",T252:T254),2)</f>
        <v>0</v>
      </c>
      <c r="AH256" s="2">
        <f>SUMIF(AA252:AA254,"=65170852",U252:U254)</f>
        <v>0</v>
      </c>
      <c r="AI256" s="2">
        <f>SUMIF(AA252:AA254,"=65170852",V252:V254)</f>
        <v>0</v>
      </c>
      <c r="AJ256" s="2">
        <f>ROUND(SUMIF(AA252:AA254,"=65170852",W252:W254),2)</f>
        <v>0</v>
      </c>
      <c r="AK256" s="2">
        <f>ROUND(SUMIF(AA252:AA254,"=65170852",X252:X254),2)</f>
        <v>0</v>
      </c>
      <c r="AL256" s="2">
        <f>ROUND(SUMIF(AA252:AA254,"=65170852",Y252:Y254),2)</f>
        <v>0</v>
      </c>
      <c r="AM256" s="2"/>
      <c r="AN256" s="2"/>
      <c r="AO256" s="2">
        <f t="shared" ref="AO256:BD256" si="176">ROUND(BX256,2)</f>
        <v>0</v>
      </c>
      <c r="AP256" s="2">
        <f t="shared" si="176"/>
        <v>0</v>
      </c>
      <c r="AQ256" s="2">
        <f t="shared" si="176"/>
        <v>0</v>
      </c>
      <c r="AR256" s="2">
        <f t="shared" si="176"/>
        <v>1892931.47</v>
      </c>
      <c r="AS256" s="2">
        <f t="shared" si="176"/>
        <v>1892931.47</v>
      </c>
      <c r="AT256" s="2">
        <f t="shared" si="176"/>
        <v>0</v>
      </c>
      <c r="AU256" s="2">
        <f t="shared" si="176"/>
        <v>0</v>
      </c>
      <c r="AV256" s="2">
        <f t="shared" si="176"/>
        <v>1892931.47</v>
      </c>
      <c r="AW256" s="2">
        <f t="shared" si="176"/>
        <v>1892931.47</v>
      </c>
      <c r="AX256" s="2">
        <f t="shared" si="176"/>
        <v>0</v>
      </c>
      <c r="AY256" s="2">
        <f t="shared" si="176"/>
        <v>1892931.47</v>
      </c>
      <c r="AZ256" s="2">
        <f t="shared" si="176"/>
        <v>0</v>
      </c>
      <c r="BA256" s="2">
        <f t="shared" si="176"/>
        <v>0</v>
      </c>
      <c r="BB256" s="2">
        <f t="shared" si="176"/>
        <v>0</v>
      </c>
      <c r="BC256" s="2">
        <f t="shared" si="176"/>
        <v>0</v>
      </c>
      <c r="BD256" s="2">
        <f t="shared" si="176"/>
        <v>0</v>
      </c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>
        <f>ROUND(SUMIF(AA252:AA254,"=65170852",FQ252:FQ254),2)</f>
        <v>0</v>
      </c>
      <c r="BY256" s="2">
        <f>ROUND(SUMIF(AA252:AA254,"=65170852",FR252:FR254),2)</f>
        <v>0</v>
      </c>
      <c r="BZ256" s="2">
        <f>ROUND(SUMIF(AA252:AA254,"=65170852",GL252:GL254),2)</f>
        <v>0</v>
      </c>
      <c r="CA256" s="2">
        <f>ROUND(SUMIF(AA252:AA254,"=65170852",GM252:GM254),2)</f>
        <v>1892931.47</v>
      </c>
      <c r="CB256" s="2">
        <f>ROUND(SUMIF(AA252:AA254,"=65170852",GN252:GN254),2)</f>
        <v>1892931.47</v>
      </c>
      <c r="CC256" s="2">
        <f>ROUND(SUMIF(AA252:AA254,"=65170852",GO252:GO254),2)</f>
        <v>0</v>
      </c>
      <c r="CD256" s="2">
        <f>ROUND(SUMIF(AA252:AA254,"=65170852",GP252:GP254),2)</f>
        <v>0</v>
      </c>
      <c r="CE256" s="2">
        <f>AC256-BX256</f>
        <v>1892931.47</v>
      </c>
      <c r="CF256" s="2">
        <f>AC256-BY256</f>
        <v>1892931.47</v>
      </c>
      <c r="CG256" s="2">
        <f>BX256-BZ256</f>
        <v>0</v>
      </c>
      <c r="CH256" s="2">
        <f>AC256-BX256-BY256+BZ256</f>
        <v>1892931.47</v>
      </c>
      <c r="CI256" s="2">
        <f>BY256-BZ256</f>
        <v>0</v>
      </c>
      <c r="CJ256" s="2">
        <f>ROUND(SUMIF(AA252:AA254,"=65170852",GX252:GX254),2)</f>
        <v>0</v>
      </c>
      <c r="CK256" s="2">
        <f>ROUND(SUMIF(AA252:AA254,"=65170852",GY252:GY254),2)</f>
        <v>0</v>
      </c>
      <c r="CL256" s="2">
        <f>ROUND(SUMIF(AA252:AA254,"=65170852",GZ252:GZ254),2)</f>
        <v>0</v>
      </c>
      <c r="CM256" s="2">
        <f>ROUND(SUMIF(AA252:AA254,"=65170852",HD252:HD254),2)</f>
        <v>0</v>
      </c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  <c r="EU256" s="3"/>
      <c r="EV256" s="3"/>
      <c r="EW256" s="3"/>
      <c r="EX256" s="3"/>
      <c r="EY256" s="3"/>
      <c r="EZ256" s="3"/>
      <c r="FA256" s="3"/>
      <c r="FB256" s="3"/>
      <c r="FC256" s="3"/>
      <c r="FD256" s="3"/>
      <c r="FE256" s="3"/>
      <c r="FF256" s="3"/>
      <c r="FG256" s="3"/>
      <c r="FH256" s="3"/>
      <c r="FI256" s="3"/>
      <c r="FJ256" s="3"/>
      <c r="FK256" s="3"/>
      <c r="FL256" s="3"/>
      <c r="FM256" s="3"/>
      <c r="FN256" s="3"/>
      <c r="FO256" s="3"/>
      <c r="FP256" s="3"/>
      <c r="FQ256" s="3"/>
      <c r="FR256" s="3"/>
      <c r="FS256" s="3"/>
      <c r="FT256" s="3"/>
      <c r="FU256" s="3"/>
      <c r="FV256" s="3"/>
      <c r="FW256" s="3"/>
      <c r="FX256" s="3"/>
      <c r="FY256" s="3"/>
      <c r="FZ256" s="3"/>
      <c r="GA256" s="3"/>
      <c r="GB256" s="3"/>
      <c r="GC256" s="3"/>
      <c r="GD256" s="3"/>
      <c r="GE256" s="3"/>
      <c r="GF256" s="3"/>
      <c r="GG256" s="3"/>
      <c r="GH256" s="3"/>
      <c r="GI256" s="3"/>
      <c r="GJ256" s="3"/>
      <c r="GK256" s="3"/>
      <c r="GL256" s="3"/>
      <c r="GM256" s="3"/>
      <c r="GN256" s="3"/>
      <c r="GO256" s="3"/>
      <c r="GP256" s="3"/>
      <c r="GQ256" s="3"/>
      <c r="GR256" s="3"/>
      <c r="GS256" s="3"/>
      <c r="GT256" s="3"/>
      <c r="GU256" s="3"/>
      <c r="GV256" s="3"/>
      <c r="GW256" s="3"/>
      <c r="GX256" s="3">
        <v>0</v>
      </c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201</v>
      </c>
      <c r="F258" s="4">
        <f>ROUND(Source!O256,O258)</f>
        <v>1892931.47</v>
      </c>
      <c r="G258" s="4" t="s">
        <v>16</v>
      </c>
      <c r="H258" s="4" t="s">
        <v>17</v>
      </c>
      <c r="I258" s="4"/>
      <c r="J258" s="4"/>
      <c r="K258" s="4">
        <v>201</v>
      </c>
      <c r="L258" s="4">
        <v>1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1892931.47</v>
      </c>
      <c r="X258" s="4">
        <v>1</v>
      </c>
      <c r="Y258" s="4">
        <v>1892931.47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202</v>
      </c>
      <c r="F259" s="4">
        <f>ROUND(Source!P256,O259)</f>
        <v>1892931.47</v>
      </c>
      <c r="G259" s="4" t="s">
        <v>18</v>
      </c>
      <c r="H259" s="4" t="s">
        <v>19</v>
      </c>
      <c r="I259" s="4"/>
      <c r="J259" s="4"/>
      <c r="K259" s="4">
        <v>202</v>
      </c>
      <c r="L259" s="4">
        <v>2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1892931.47</v>
      </c>
      <c r="X259" s="4">
        <v>1</v>
      </c>
      <c r="Y259" s="4">
        <v>1892931.47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222</v>
      </c>
      <c r="F260" s="4">
        <f>ROUND(Source!AO256,O260)</f>
        <v>0</v>
      </c>
      <c r="G260" s="4" t="s">
        <v>20</v>
      </c>
      <c r="H260" s="4" t="s">
        <v>21</v>
      </c>
      <c r="I260" s="4"/>
      <c r="J260" s="4"/>
      <c r="K260" s="4">
        <v>222</v>
      </c>
      <c r="L260" s="4">
        <v>3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225</v>
      </c>
      <c r="F261" s="4">
        <f>ROUND(Source!AV256,O261)</f>
        <v>1892931.47</v>
      </c>
      <c r="G261" s="4" t="s">
        <v>22</v>
      </c>
      <c r="H261" s="4" t="s">
        <v>23</v>
      </c>
      <c r="I261" s="4"/>
      <c r="J261" s="4"/>
      <c r="K261" s="4">
        <v>225</v>
      </c>
      <c r="L261" s="4">
        <v>4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1892931.47</v>
      </c>
      <c r="X261" s="4">
        <v>1</v>
      </c>
      <c r="Y261" s="4">
        <v>1892931.47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226</v>
      </c>
      <c r="F262" s="4">
        <f>ROUND(Source!AW256,O262)</f>
        <v>1892931.47</v>
      </c>
      <c r="G262" s="4" t="s">
        <v>24</v>
      </c>
      <c r="H262" s="4" t="s">
        <v>25</v>
      </c>
      <c r="I262" s="4"/>
      <c r="J262" s="4"/>
      <c r="K262" s="4">
        <v>226</v>
      </c>
      <c r="L262" s="4">
        <v>5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1892931.47</v>
      </c>
      <c r="X262" s="4">
        <v>1</v>
      </c>
      <c r="Y262" s="4">
        <v>1892931.47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227</v>
      </c>
      <c r="F263" s="4">
        <f>ROUND(Source!AX256,O263)</f>
        <v>0</v>
      </c>
      <c r="G263" s="4" t="s">
        <v>26</v>
      </c>
      <c r="H263" s="4" t="s">
        <v>27</v>
      </c>
      <c r="I263" s="4"/>
      <c r="J263" s="4"/>
      <c r="K263" s="4">
        <v>227</v>
      </c>
      <c r="L263" s="4">
        <v>6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228</v>
      </c>
      <c r="F264" s="4">
        <f>ROUND(Source!AY256,O264)</f>
        <v>1892931.47</v>
      </c>
      <c r="G264" s="4" t="s">
        <v>28</v>
      </c>
      <c r="H264" s="4" t="s">
        <v>29</v>
      </c>
      <c r="I264" s="4"/>
      <c r="J264" s="4"/>
      <c r="K264" s="4">
        <v>228</v>
      </c>
      <c r="L264" s="4">
        <v>7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1892931.47</v>
      </c>
      <c r="X264" s="4">
        <v>1</v>
      </c>
      <c r="Y264" s="4">
        <v>1892931.47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216</v>
      </c>
      <c r="F265" s="4">
        <f>ROUND(Source!AP256,O265)</f>
        <v>0</v>
      </c>
      <c r="G265" s="4" t="s">
        <v>30</v>
      </c>
      <c r="H265" s="4" t="s">
        <v>31</v>
      </c>
      <c r="I265" s="4"/>
      <c r="J265" s="4"/>
      <c r="K265" s="4">
        <v>216</v>
      </c>
      <c r="L265" s="4">
        <v>8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223</v>
      </c>
      <c r="F266" s="4">
        <f>ROUND(Source!AQ256,O266)</f>
        <v>0</v>
      </c>
      <c r="G266" s="4" t="s">
        <v>32</v>
      </c>
      <c r="H266" s="4" t="s">
        <v>33</v>
      </c>
      <c r="I266" s="4"/>
      <c r="J266" s="4"/>
      <c r="K266" s="4">
        <v>223</v>
      </c>
      <c r="L266" s="4">
        <v>9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229</v>
      </c>
      <c r="F267" s="4">
        <f>ROUND(Source!AZ256,O267)</f>
        <v>0</v>
      </c>
      <c r="G267" s="4" t="s">
        <v>34</v>
      </c>
      <c r="H267" s="4" t="s">
        <v>35</v>
      </c>
      <c r="I267" s="4"/>
      <c r="J267" s="4"/>
      <c r="K267" s="4">
        <v>229</v>
      </c>
      <c r="L267" s="4">
        <v>10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203</v>
      </c>
      <c r="F268" s="4">
        <f>ROUND(Source!Q256,O268)</f>
        <v>0</v>
      </c>
      <c r="G268" s="4" t="s">
        <v>36</v>
      </c>
      <c r="H268" s="4" t="s">
        <v>37</v>
      </c>
      <c r="I268" s="4"/>
      <c r="J268" s="4"/>
      <c r="K268" s="4">
        <v>203</v>
      </c>
      <c r="L268" s="4">
        <v>11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231</v>
      </c>
      <c r="F269" s="4">
        <f>ROUND(Source!BB256,O269)</f>
        <v>0</v>
      </c>
      <c r="G269" s="4" t="s">
        <v>38</v>
      </c>
      <c r="H269" s="4" t="s">
        <v>39</v>
      </c>
      <c r="I269" s="4"/>
      <c r="J269" s="4"/>
      <c r="K269" s="4">
        <v>231</v>
      </c>
      <c r="L269" s="4">
        <v>12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204</v>
      </c>
      <c r="F270" s="4">
        <f>ROUND(Source!R256,O270)</f>
        <v>0</v>
      </c>
      <c r="G270" s="4" t="s">
        <v>40</v>
      </c>
      <c r="H270" s="4" t="s">
        <v>41</v>
      </c>
      <c r="I270" s="4"/>
      <c r="J270" s="4"/>
      <c r="K270" s="4">
        <v>204</v>
      </c>
      <c r="L270" s="4">
        <v>13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205</v>
      </c>
      <c r="F271" s="4">
        <f>ROUND(Source!S256,O271)</f>
        <v>0</v>
      </c>
      <c r="G271" s="4" t="s">
        <v>42</v>
      </c>
      <c r="H271" s="4" t="s">
        <v>43</v>
      </c>
      <c r="I271" s="4"/>
      <c r="J271" s="4"/>
      <c r="K271" s="4">
        <v>205</v>
      </c>
      <c r="L271" s="4">
        <v>14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0</v>
      </c>
      <c r="X271" s="4">
        <v>1</v>
      </c>
      <c r="Y271" s="4">
        <v>0</v>
      </c>
      <c r="Z271" s="4"/>
      <c r="AA271" s="4"/>
      <c r="AB271" s="4"/>
    </row>
    <row r="272" spans="1:28" x14ac:dyDescent="0.2">
      <c r="A272" s="4">
        <v>50</v>
      </c>
      <c r="B272" s="4">
        <v>0</v>
      </c>
      <c r="C272" s="4">
        <v>0</v>
      </c>
      <c r="D272" s="4">
        <v>1</v>
      </c>
      <c r="E272" s="4">
        <v>232</v>
      </c>
      <c r="F272" s="4">
        <f>ROUND(Source!BC256,O272)</f>
        <v>0</v>
      </c>
      <c r="G272" s="4" t="s">
        <v>44</v>
      </c>
      <c r="H272" s="4" t="s">
        <v>45</v>
      </c>
      <c r="I272" s="4"/>
      <c r="J272" s="4"/>
      <c r="K272" s="4">
        <v>232</v>
      </c>
      <c r="L272" s="4">
        <v>15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06" x14ac:dyDescent="0.2">
      <c r="A273" s="4">
        <v>50</v>
      </c>
      <c r="B273" s="4">
        <v>0</v>
      </c>
      <c r="C273" s="4">
        <v>0</v>
      </c>
      <c r="D273" s="4">
        <v>1</v>
      </c>
      <c r="E273" s="4">
        <v>214</v>
      </c>
      <c r="F273" s="4">
        <f>ROUND(Source!AS256,O273)</f>
        <v>1892931.47</v>
      </c>
      <c r="G273" s="4" t="s">
        <v>46</v>
      </c>
      <c r="H273" s="4" t="s">
        <v>47</v>
      </c>
      <c r="I273" s="4"/>
      <c r="J273" s="4"/>
      <c r="K273" s="4">
        <v>214</v>
      </c>
      <c r="L273" s="4">
        <v>16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06" x14ac:dyDescent="0.2">
      <c r="A274" s="4">
        <v>50</v>
      </c>
      <c r="B274" s="4">
        <v>0</v>
      </c>
      <c r="C274" s="4">
        <v>0</v>
      </c>
      <c r="D274" s="4">
        <v>1</v>
      </c>
      <c r="E274" s="4">
        <v>215</v>
      </c>
      <c r="F274" s="4">
        <f>ROUND(Source!AT256,O274)</f>
        <v>0</v>
      </c>
      <c r="G274" s="4" t="s">
        <v>48</v>
      </c>
      <c r="H274" s="4" t="s">
        <v>49</v>
      </c>
      <c r="I274" s="4"/>
      <c r="J274" s="4"/>
      <c r="K274" s="4">
        <v>215</v>
      </c>
      <c r="L274" s="4">
        <v>17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06" x14ac:dyDescent="0.2">
      <c r="A275" s="4">
        <v>50</v>
      </c>
      <c r="B275" s="4">
        <v>0</v>
      </c>
      <c r="C275" s="4">
        <v>0</v>
      </c>
      <c r="D275" s="4">
        <v>1</v>
      </c>
      <c r="E275" s="4">
        <v>217</v>
      </c>
      <c r="F275" s="4">
        <f>ROUND(Source!AU256,O275)</f>
        <v>0</v>
      </c>
      <c r="G275" s="4" t="s">
        <v>50</v>
      </c>
      <c r="H275" s="4" t="s">
        <v>51</v>
      </c>
      <c r="I275" s="4"/>
      <c r="J275" s="4"/>
      <c r="K275" s="4">
        <v>217</v>
      </c>
      <c r="L275" s="4">
        <v>18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06" x14ac:dyDescent="0.2">
      <c r="A276" s="4">
        <v>50</v>
      </c>
      <c r="B276" s="4">
        <v>0</v>
      </c>
      <c r="C276" s="4">
        <v>0</v>
      </c>
      <c r="D276" s="4">
        <v>1</v>
      </c>
      <c r="E276" s="4">
        <v>230</v>
      </c>
      <c r="F276" s="4">
        <f>ROUND(Source!BA256,O276)</f>
        <v>0</v>
      </c>
      <c r="G276" s="4" t="s">
        <v>52</v>
      </c>
      <c r="H276" s="4" t="s">
        <v>53</v>
      </c>
      <c r="I276" s="4"/>
      <c r="J276" s="4"/>
      <c r="K276" s="4">
        <v>230</v>
      </c>
      <c r="L276" s="4">
        <v>19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06" x14ac:dyDescent="0.2">
      <c r="A277" s="4">
        <v>50</v>
      </c>
      <c r="B277" s="4">
        <v>0</v>
      </c>
      <c r="C277" s="4">
        <v>0</v>
      </c>
      <c r="D277" s="4">
        <v>1</v>
      </c>
      <c r="E277" s="4">
        <v>206</v>
      </c>
      <c r="F277" s="4">
        <f>ROUND(Source!T256,O277)</f>
        <v>0</v>
      </c>
      <c r="G277" s="4" t="s">
        <v>54</v>
      </c>
      <c r="H277" s="4" t="s">
        <v>55</v>
      </c>
      <c r="I277" s="4"/>
      <c r="J277" s="4"/>
      <c r="K277" s="4">
        <v>206</v>
      </c>
      <c r="L277" s="4">
        <v>20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06" x14ac:dyDescent="0.2">
      <c r="A278" s="4">
        <v>50</v>
      </c>
      <c r="B278" s="4">
        <v>0</v>
      </c>
      <c r="C278" s="4">
        <v>0</v>
      </c>
      <c r="D278" s="4">
        <v>1</v>
      </c>
      <c r="E278" s="4">
        <v>207</v>
      </c>
      <c r="F278" s="4">
        <f>ROUND(Source!U256,O278)</f>
        <v>0</v>
      </c>
      <c r="G278" s="4" t="s">
        <v>56</v>
      </c>
      <c r="H278" s="4" t="s">
        <v>57</v>
      </c>
      <c r="I278" s="4"/>
      <c r="J278" s="4"/>
      <c r="K278" s="4">
        <v>207</v>
      </c>
      <c r="L278" s="4">
        <v>21</v>
      </c>
      <c r="M278" s="4">
        <v>3</v>
      </c>
      <c r="N278" s="4" t="s">
        <v>3</v>
      </c>
      <c r="O278" s="4">
        <v>7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06" x14ac:dyDescent="0.2">
      <c r="A279" s="4">
        <v>50</v>
      </c>
      <c r="B279" s="4">
        <v>0</v>
      </c>
      <c r="C279" s="4">
        <v>0</v>
      </c>
      <c r="D279" s="4">
        <v>1</v>
      </c>
      <c r="E279" s="4">
        <v>208</v>
      </c>
      <c r="F279" s="4">
        <f>ROUND(Source!V256,O279)</f>
        <v>0</v>
      </c>
      <c r="G279" s="4" t="s">
        <v>58</v>
      </c>
      <c r="H279" s="4" t="s">
        <v>59</v>
      </c>
      <c r="I279" s="4"/>
      <c r="J279" s="4"/>
      <c r="K279" s="4">
        <v>208</v>
      </c>
      <c r="L279" s="4">
        <v>22</v>
      </c>
      <c r="M279" s="4">
        <v>3</v>
      </c>
      <c r="N279" s="4" t="s">
        <v>3</v>
      </c>
      <c r="O279" s="4">
        <v>7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06" x14ac:dyDescent="0.2">
      <c r="A280" s="4">
        <v>50</v>
      </c>
      <c r="B280" s="4">
        <v>0</v>
      </c>
      <c r="C280" s="4">
        <v>0</v>
      </c>
      <c r="D280" s="4">
        <v>1</v>
      </c>
      <c r="E280" s="4">
        <v>209</v>
      </c>
      <c r="F280" s="4">
        <f>ROUND(Source!W256,O280)</f>
        <v>0</v>
      </c>
      <c r="G280" s="4" t="s">
        <v>60</v>
      </c>
      <c r="H280" s="4" t="s">
        <v>61</v>
      </c>
      <c r="I280" s="4"/>
      <c r="J280" s="4"/>
      <c r="K280" s="4">
        <v>209</v>
      </c>
      <c r="L280" s="4">
        <v>23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06" x14ac:dyDescent="0.2">
      <c r="A281" s="4">
        <v>50</v>
      </c>
      <c r="B281" s="4">
        <v>0</v>
      </c>
      <c r="C281" s="4">
        <v>0</v>
      </c>
      <c r="D281" s="4">
        <v>1</v>
      </c>
      <c r="E281" s="4">
        <v>233</v>
      </c>
      <c r="F281" s="4">
        <f>ROUND(Source!BD256,O281)</f>
        <v>0</v>
      </c>
      <c r="G281" s="4" t="s">
        <v>62</v>
      </c>
      <c r="H281" s="4" t="s">
        <v>63</v>
      </c>
      <c r="I281" s="4"/>
      <c r="J281" s="4"/>
      <c r="K281" s="4">
        <v>233</v>
      </c>
      <c r="L281" s="4">
        <v>24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06" x14ac:dyDescent="0.2">
      <c r="A282" s="4">
        <v>50</v>
      </c>
      <c r="B282" s="4">
        <v>0</v>
      </c>
      <c r="C282" s="4">
        <v>0</v>
      </c>
      <c r="D282" s="4">
        <v>1</v>
      </c>
      <c r="E282" s="4">
        <v>210</v>
      </c>
      <c r="F282" s="4">
        <f>ROUND(Source!X256,O282)</f>
        <v>0</v>
      </c>
      <c r="G282" s="4" t="s">
        <v>64</v>
      </c>
      <c r="H282" s="4" t="s">
        <v>65</v>
      </c>
      <c r="I282" s="4"/>
      <c r="J282" s="4"/>
      <c r="K282" s="4">
        <v>210</v>
      </c>
      <c r="L282" s="4">
        <v>25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06" x14ac:dyDescent="0.2">
      <c r="A283" s="4">
        <v>50</v>
      </c>
      <c r="B283" s="4">
        <v>0</v>
      </c>
      <c r="C283" s="4">
        <v>0</v>
      </c>
      <c r="D283" s="4">
        <v>1</v>
      </c>
      <c r="E283" s="4">
        <v>211</v>
      </c>
      <c r="F283" s="4">
        <f>ROUND(Source!Y256,O283)</f>
        <v>0</v>
      </c>
      <c r="G283" s="4" t="s">
        <v>66</v>
      </c>
      <c r="H283" s="4" t="s">
        <v>67</v>
      </c>
      <c r="I283" s="4"/>
      <c r="J283" s="4"/>
      <c r="K283" s="4">
        <v>211</v>
      </c>
      <c r="L283" s="4">
        <v>26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06" x14ac:dyDescent="0.2">
      <c r="A284" s="4">
        <v>50</v>
      </c>
      <c r="B284" s="4">
        <v>0</v>
      </c>
      <c r="C284" s="4">
        <v>0</v>
      </c>
      <c r="D284" s="4">
        <v>1</v>
      </c>
      <c r="E284" s="4">
        <v>224</v>
      </c>
      <c r="F284" s="4">
        <f>ROUND(Source!AR256,O284)</f>
        <v>1892931.47</v>
      </c>
      <c r="G284" s="4" t="s">
        <v>68</v>
      </c>
      <c r="H284" s="4" t="s">
        <v>69</v>
      </c>
      <c r="I284" s="4"/>
      <c r="J284" s="4"/>
      <c r="K284" s="4">
        <v>224</v>
      </c>
      <c r="L284" s="4">
        <v>27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1892931.47</v>
      </c>
      <c r="X284" s="4">
        <v>1</v>
      </c>
      <c r="Y284" s="4">
        <v>1892931.47</v>
      </c>
      <c r="Z284" s="4"/>
      <c r="AA284" s="4"/>
      <c r="AB284" s="4"/>
    </row>
    <row r="286" spans="1:206" x14ac:dyDescent="0.2">
      <c r="A286" s="1">
        <v>4</v>
      </c>
      <c r="B286" s="1">
        <v>1</v>
      </c>
      <c r="C286" s="1"/>
      <c r="D286" s="1">
        <f>ROW(A308)</f>
        <v>308</v>
      </c>
      <c r="E286" s="1"/>
      <c r="F286" s="1" t="s">
        <v>71</v>
      </c>
      <c r="G286" s="1" t="s">
        <v>347</v>
      </c>
      <c r="H286" s="1" t="s">
        <v>3</v>
      </c>
      <c r="I286" s="1">
        <v>0</v>
      </c>
      <c r="J286" s="1"/>
      <c r="K286" s="1">
        <v>0</v>
      </c>
      <c r="L286" s="1"/>
      <c r="M286" s="1" t="s">
        <v>3</v>
      </c>
      <c r="N286" s="1"/>
      <c r="O286" s="1"/>
      <c r="P286" s="1"/>
      <c r="Q286" s="1"/>
      <c r="R286" s="1"/>
      <c r="S286" s="1">
        <v>0</v>
      </c>
      <c r="T286" s="1"/>
      <c r="U286" s="1" t="s">
        <v>3</v>
      </c>
      <c r="V286" s="1">
        <v>0</v>
      </c>
      <c r="W286" s="1"/>
      <c r="X286" s="1"/>
      <c r="Y286" s="1"/>
      <c r="Z286" s="1"/>
      <c r="AA286" s="1"/>
      <c r="AB286" s="1" t="s">
        <v>3</v>
      </c>
      <c r="AC286" s="1" t="s">
        <v>3</v>
      </c>
      <c r="AD286" s="1" t="s">
        <v>3</v>
      </c>
      <c r="AE286" s="1" t="s">
        <v>3</v>
      </c>
      <c r="AF286" s="1" t="s">
        <v>3</v>
      </c>
      <c r="AG286" s="1" t="s">
        <v>3</v>
      </c>
      <c r="AH286" s="1"/>
      <c r="AI286" s="1"/>
      <c r="AJ286" s="1"/>
      <c r="AK286" s="1"/>
      <c r="AL286" s="1"/>
      <c r="AM286" s="1"/>
      <c r="AN286" s="1"/>
      <c r="AO286" s="1"/>
      <c r="AP286" s="1" t="s">
        <v>3</v>
      </c>
      <c r="AQ286" s="1" t="s">
        <v>3</v>
      </c>
      <c r="AR286" s="1" t="s">
        <v>3</v>
      </c>
      <c r="AS286" s="1"/>
      <c r="AT286" s="1"/>
      <c r="AU286" s="1"/>
      <c r="AV286" s="1"/>
      <c r="AW286" s="1"/>
      <c r="AX286" s="1"/>
      <c r="AY286" s="1"/>
      <c r="AZ286" s="1" t="s">
        <v>3</v>
      </c>
      <c r="BA286" s="1"/>
      <c r="BB286" s="1" t="s">
        <v>3</v>
      </c>
      <c r="BC286" s="1" t="s">
        <v>3</v>
      </c>
      <c r="BD286" s="1" t="s">
        <v>3</v>
      </c>
      <c r="BE286" s="1" t="s">
        <v>3</v>
      </c>
      <c r="BF286" s="1" t="s">
        <v>3</v>
      </c>
      <c r="BG286" s="1" t="s">
        <v>3</v>
      </c>
      <c r="BH286" s="1" t="s">
        <v>3</v>
      </c>
      <c r="BI286" s="1" t="s">
        <v>3</v>
      </c>
      <c r="BJ286" s="1" t="s">
        <v>3</v>
      </c>
      <c r="BK286" s="1" t="s">
        <v>3</v>
      </c>
      <c r="BL286" s="1" t="s">
        <v>3</v>
      </c>
      <c r="BM286" s="1" t="s">
        <v>3</v>
      </c>
      <c r="BN286" s="1" t="s">
        <v>3</v>
      </c>
      <c r="BO286" s="1" t="s">
        <v>3</v>
      </c>
      <c r="BP286" s="1" t="s">
        <v>3</v>
      </c>
      <c r="BQ286" s="1"/>
      <c r="BR286" s="1"/>
      <c r="BS286" s="1"/>
      <c r="BT286" s="1"/>
      <c r="BU286" s="1"/>
      <c r="BV286" s="1"/>
      <c r="BW286" s="1"/>
      <c r="BX286" s="1">
        <v>0</v>
      </c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>
        <v>0</v>
      </c>
    </row>
    <row r="288" spans="1:206" x14ac:dyDescent="0.2">
      <c r="A288" s="2">
        <v>52</v>
      </c>
      <c r="B288" s="2">
        <f t="shared" ref="B288:G288" si="177">B308</f>
        <v>1</v>
      </c>
      <c r="C288" s="2">
        <f t="shared" si="177"/>
        <v>4</v>
      </c>
      <c r="D288" s="2">
        <f t="shared" si="177"/>
        <v>286</v>
      </c>
      <c r="E288" s="2">
        <f t="shared" si="177"/>
        <v>0</v>
      </c>
      <c r="F288" s="2" t="str">
        <f t="shared" si="177"/>
        <v>Новый раздел</v>
      </c>
      <c r="G288" s="2" t="str">
        <f t="shared" si="177"/>
        <v>Пусконаладочные работы</v>
      </c>
      <c r="H288" s="2"/>
      <c r="I288" s="2"/>
      <c r="J288" s="2"/>
      <c r="K288" s="2"/>
      <c r="L288" s="2"/>
      <c r="M288" s="2"/>
      <c r="N288" s="2"/>
      <c r="O288" s="2">
        <f t="shared" ref="O288:AT288" si="178">O308</f>
        <v>102056.87</v>
      </c>
      <c r="P288" s="2">
        <f t="shared" si="178"/>
        <v>0</v>
      </c>
      <c r="Q288" s="2">
        <f t="shared" si="178"/>
        <v>0</v>
      </c>
      <c r="R288" s="2">
        <f t="shared" si="178"/>
        <v>0</v>
      </c>
      <c r="S288" s="2">
        <f t="shared" si="178"/>
        <v>102056.87</v>
      </c>
      <c r="T288" s="2">
        <f t="shared" si="178"/>
        <v>0</v>
      </c>
      <c r="U288" s="2">
        <f t="shared" si="178"/>
        <v>162.74680000000001</v>
      </c>
      <c r="V288" s="2">
        <f t="shared" si="178"/>
        <v>0</v>
      </c>
      <c r="W288" s="2">
        <f t="shared" si="178"/>
        <v>0</v>
      </c>
      <c r="X288" s="2">
        <f t="shared" si="178"/>
        <v>75522.09</v>
      </c>
      <c r="Y288" s="2">
        <f t="shared" si="178"/>
        <v>36740.480000000003</v>
      </c>
      <c r="Z288" s="2">
        <f t="shared" si="178"/>
        <v>0</v>
      </c>
      <c r="AA288" s="2">
        <f t="shared" si="178"/>
        <v>0</v>
      </c>
      <c r="AB288" s="2">
        <f t="shared" si="178"/>
        <v>102056.87</v>
      </c>
      <c r="AC288" s="2">
        <f t="shared" si="178"/>
        <v>0</v>
      </c>
      <c r="AD288" s="2">
        <f t="shared" si="178"/>
        <v>0</v>
      </c>
      <c r="AE288" s="2">
        <f t="shared" si="178"/>
        <v>0</v>
      </c>
      <c r="AF288" s="2">
        <f t="shared" si="178"/>
        <v>102056.87</v>
      </c>
      <c r="AG288" s="2">
        <f t="shared" si="178"/>
        <v>0</v>
      </c>
      <c r="AH288" s="2">
        <f t="shared" si="178"/>
        <v>162.74680000000001</v>
      </c>
      <c r="AI288" s="2">
        <f t="shared" si="178"/>
        <v>0</v>
      </c>
      <c r="AJ288" s="2">
        <f t="shared" si="178"/>
        <v>0</v>
      </c>
      <c r="AK288" s="2">
        <f t="shared" si="178"/>
        <v>75522.09</v>
      </c>
      <c r="AL288" s="2">
        <f t="shared" si="178"/>
        <v>36740.480000000003</v>
      </c>
      <c r="AM288" s="2">
        <f t="shared" si="178"/>
        <v>0</v>
      </c>
      <c r="AN288" s="2">
        <f t="shared" si="178"/>
        <v>0</v>
      </c>
      <c r="AO288" s="2">
        <f t="shared" si="178"/>
        <v>0</v>
      </c>
      <c r="AP288" s="2">
        <f t="shared" si="178"/>
        <v>0</v>
      </c>
      <c r="AQ288" s="2">
        <f t="shared" si="178"/>
        <v>0</v>
      </c>
      <c r="AR288" s="2">
        <f t="shared" si="178"/>
        <v>214319.44</v>
      </c>
      <c r="AS288" s="2">
        <f t="shared" si="178"/>
        <v>0</v>
      </c>
      <c r="AT288" s="2">
        <f t="shared" si="178"/>
        <v>0</v>
      </c>
      <c r="AU288" s="2">
        <f t="shared" ref="AU288:BZ288" si="179">AU308</f>
        <v>214319.44</v>
      </c>
      <c r="AV288" s="2">
        <f t="shared" si="179"/>
        <v>0</v>
      </c>
      <c r="AW288" s="2">
        <f t="shared" si="179"/>
        <v>0</v>
      </c>
      <c r="AX288" s="2">
        <f t="shared" si="179"/>
        <v>0</v>
      </c>
      <c r="AY288" s="2">
        <f t="shared" si="179"/>
        <v>0</v>
      </c>
      <c r="AZ288" s="2">
        <f t="shared" si="179"/>
        <v>0</v>
      </c>
      <c r="BA288" s="2">
        <f t="shared" si="179"/>
        <v>0</v>
      </c>
      <c r="BB288" s="2">
        <f t="shared" si="179"/>
        <v>0</v>
      </c>
      <c r="BC288" s="2">
        <f t="shared" si="179"/>
        <v>0</v>
      </c>
      <c r="BD288" s="2">
        <f t="shared" si="179"/>
        <v>0</v>
      </c>
      <c r="BE288" s="2">
        <f t="shared" si="179"/>
        <v>0</v>
      </c>
      <c r="BF288" s="2">
        <f t="shared" si="179"/>
        <v>0</v>
      </c>
      <c r="BG288" s="2">
        <f t="shared" si="179"/>
        <v>0</v>
      </c>
      <c r="BH288" s="2">
        <f t="shared" si="179"/>
        <v>0</v>
      </c>
      <c r="BI288" s="2">
        <f t="shared" si="179"/>
        <v>0</v>
      </c>
      <c r="BJ288" s="2">
        <f t="shared" si="179"/>
        <v>0</v>
      </c>
      <c r="BK288" s="2">
        <f t="shared" si="179"/>
        <v>0</v>
      </c>
      <c r="BL288" s="2">
        <f t="shared" si="179"/>
        <v>0</v>
      </c>
      <c r="BM288" s="2">
        <f t="shared" si="179"/>
        <v>0</v>
      </c>
      <c r="BN288" s="2">
        <f t="shared" si="179"/>
        <v>0</v>
      </c>
      <c r="BO288" s="2">
        <f t="shared" si="179"/>
        <v>0</v>
      </c>
      <c r="BP288" s="2">
        <f t="shared" si="179"/>
        <v>0</v>
      </c>
      <c r="BQ288" s="2">
        <f t="shared" si="179"/>
        <v>0</v>
      </c>
      <c r="BR288" s="2">
        <f t="shared" si="179"/>
        <v>0</v>
      </c>
      <c r="BS288" s="2">
        <f t="shared" si="179"/>
        <v>0</v>
      </c>
      <c r="BT288" s="2">
        <f t="shared" si="179"/>
        <v>0</v>
      </c>
      <c r="BU288" s="2">
        <f t="shared" si="179"/>
        <v>0</v>
      </c>
      <c r="BV288" s="2">
        <f t="shared" si="179"/>
        <v>0</v>
      </c>
      <c r="BW288" s="2">
        <f t="shared" si="179"/>
        <v>0</v>
      </c>
      <c r="BX288" s="2">
        <f t="shared" si="179"/>
        <v>0</v>
      </c>
      <c r="BY288" s="2">
        <f t="shared" si="179"/>
        <v>0</v>
      </c>
      <c r="BZ288" s="2">
        <f t="shared" si="179"/>
        <v>0</v>
      </c>
      <c r="CA288" s="2">
        <f t="shared" ref="CA288:DF288" si="180">CA308</f>
        <v>214319.44</v>
      </c>
      <c r="CB288" s="2">
        <f t="shared" si="180"/>
        <v>0</v>
      </c>
      <c r="CC288" s="2">
        <f t="shared" si="180"/>
        <v>0</v>
      </c>
      <c r="CD288" s="2">
        <f t="shared" si="180"/>
        <v>214319.44</v>
      </c>
      <c r="CE288" s="2">
        <f t="shared" si="180"/>
        <v>0</v>
      </c>
      <c r="CF288" s="2">
        <f t="shared" si="180"/>
        <v>0</v>
      </c>
      <c r="CG288" s="2">
        <f t="shared" si="180"/>
        <v>0</v>
      </c>
      <c r="CH288" s="2">
        <f t="shared" si="180"/>
        <v>0</v>
      </c>
      <c r="CI288" s="2">
        <f t="shared" si="180"/>
        <v>0</v>
      </c>
      <c r="CJ288" s="2">
        <f t="shared" si="180"/>
        <v>0</v>
      </c>
      <c r="CK288" s="2">
        <f t="shared" si="180"/>
        <v>0</v>
      </c>
      <c r="CL288" s="2">
        <f t="shared" si="180"/>
        <v>0</v>
      </c>
      <c r="CM288" s="2">
        <f t="shared" si="180"/>
        <v>0</v>
      </c>
      <c r="CN288" s="2">
        <f t="shared" si="180"/>
        <v>0</v>
      </c>
      <c r="CO288" s="2">
        <f t="shared" si="180"/>
        <v>0</v>
      </c>
      <c r="CP288" s="2">
        <f t="shared" si="180"/>
        <v>0</v>
      </c>
      <c r="CQ288" s="2">
        <f t="shared" si="180"/>
        <v>0</v>
      </c>
      <c r="CR288" s="2">
        <f t="shared" si="180"/>
        <v>0</v>
      </c>
      <c r="CS288" s="2">
        <f t="shared" si="180"/>
        <v>0</v>
      </c>
      <c r="CT288" s="2">
        <f t="shared" si="180"/>
        <v>0</v>
      </c>
      <c r="CU288" s="2">
        <f t="shared" si="180"/>
        <v>0</v>
      </c>
      <c r="CV288" s="2">
        <f t="shared" si="180"/>
        <v>0</v>
      </c>
      <c r="CW288" s="2">
        <f t="shared" si="180"/>
        <v>0</v>
      </c>
      <c r="CX288" s="2">
        <f t="shared" si="180"/>
        <v>0</v>
      </c>
      <c r="CY288" s="2">
        <f t="shared" si="180"/>
        <v>0</v>
      </c>
      <c r="CZ288" s="2">
        <f t="shared" si="180"/>
        <v>0</v>
      </c>
      <c r="DA288" s="2">
        <f t="shared" si="180"/>
        <v>0</v>
      </c>
      <c r="DB288" s="2">
        <f t="shared" si="180"/>
        <v>0</v>
      </c>
      <c r="DC288" s="2">
        <f t="shared" si="180"/>
        <v>0</v>
      </c>
      <c r="DD288" s="2">
        <f t="shared" si="180"/>
        <v>0</v>
      </c>
      <c r="DE288" s="2">
        <f t="shared" si="180"/>
        <v>0</v>
      </c>
      <c r="DF288" s="2">
        <f t="shared" si="180"/>
        <v>0</v>
      </c>
      <c r="DG288" s="3">
        <f t="shared" ref="DG288:EL288" si="181">DG308</f>
        <v>0</v>
      </c>
      <c r="DH288" s="3">
        <f t="shared" si="181"/>
        <v>0</v>
      </c>
      <c r="DI288" s="3">
        <f t="shared" si="181"/>
        <v>0</v>
      </c>
      <c r="DJ288" s="3">
        <f t="shared" si="181"/>
        <v>0</v>
      </c>
      <c r="DK288" s="3">
        <f t="shared" si="181"/>
        <v>0</v>
      </c>
      <c r="DL288" s="3">
        <f t="shared" si="181"/>
        <v>0</v>
      </c>
      <c r="DM288" s="3">
        <f t="shared" si="181"/>
        <v>0</v>
      </c>
      <c r="DN288" s="3">
        <f t="shared" si="181"/>
        <v>0</v>
      </c>
      <c r="DO288" s="3">
        <f t="shared" si="181"/>
        <v>0</v>
      </c>
      <c r="DP288" s="3">
        <f t="shared" si="181"/>
        <v>0</v>
      </c>
      <c r="DQ288" s="3">
        <f t="shared" si="181"/>
        <v>0</v>
      </c>
      <c r="DR288" s="3">
        <f t="shared" si="181"/>
        <v>0</v>
      </c>
      <c r="DS288" s="3">
        <f t="shared" si="181"/>
        <v>0</v>
      </c>
      <c r="DT288" s="3">
        <f t="shared" si="181"/>
        <v>0</v>
      </c>
      <c r="DU288" s="3">
        <f t="shared" si="181"/>
        <v>0</v>
      </c>
      <c r="DV288" s="3">
        <f t="shared" si="181"/>
        <v>0</v>
      </c>
      <c r="DW288" s="3">
        <f t="shared" si="181"/>
        <v>0</v>
      </c>
      <c r="DX288" s="3">
        <f t="shared" si="181"/>
        <v>0</v>
      </c>
      <c r="DY288" s="3">
        <f t="shared" si="181"/>
        <v>0</v>
      </c>
      <c r="DZ288" s="3">
        <f t="shared" si="181"/>
        <v>0</v>
      </c>
      <c r="EA288" s="3">
        <f t="shared" si="181"/>
        <v>0</v>
      </c>
      <c r="EB288" s="3">
        <f t="shared" si="181"/>
        <v>0</v>
      </c>
      <c r="EC288" s="3">
        <f t="shared" si="181"/>
        <v>0</v>
      </c>
      <c r="ED288" s="3">
        <f t="shared" si="181"/>
        <v>0</v>
      </c>
      <c r="EE288" s="3">
        <f t="shared" si="181"/>
        <v>0</v>
      </c>
      <c r="EF288" s="3">
        <f t="shared" si="181"/>
        <v>0</v>
      </c>
      <c r="EG288" s="3">
        <f t="shared" si="181"/>
        <v>0</v>
      </c>
      <c r="EH288" s="3">
        <f t="shared" si="181"/>
        <v>0</v>
      </c>
      <c r="EI288" s="3">
        <f t="shared" si="181"/>
        <v>0</v>
      </c>
      <c r="EJ288" s="3">
        <f t="shared" si="181"/>
        <v>0</v>
      </c>
      <c r="EK288" s="3">
        <f t="shared" si="181"/>
        <v>0</v>
      </c>
      <c r="EL288" s="3">
        <f t="shared" si="181"/>
        <v>0</v>
      </c>
      <c r="EM288" s="3">
        <f t="shared" ref="EM288:FR288" si="182">EM308</f>
        <v>0</v>
      </c>
      <c r="EN288" s="3">
        <f t="shared" si="182"/>
        <v>0</v>
      </c>
      <c r="EO288" s="3">
        <f t="shared" si="182"/>
        <v>0</v>
      </c>
      <c r="EP288" s="3">
        <f t="shared" si="182"/>
        <v>0</v>
      </c>
      <c r="EQ288" s="3">
        <f t="shared" si="182"/>
        <v>0</v>
      </c>
      <c r="ER288" s="3">
        <f t="shared" si="182"/>
        <v>0</v>
      </c>
      <c r="ES288" s="3">
        <f t="shared" si="182"/>
        <v>0</v>
      </c>
      <c r="ET288" s="3">
        <f t="shared" si="182"/>
        <v>0</v>
      </c>
      <c r="EU288" s="3">
        <f t="shared" si="182"/>
        <v>0</v>
      </c>
      <c r="EV288" s="3">
        <f t="shared" si="182"/>
        <v>0</v>
      </c>
      <c r="EW288" s="3">
        <f t="shared" si="182"/>
        <v>0</v>
      </c>
      <c r="EX288" s="3">
        <f t="shared" si="182"/>
        <v>0</v>
      </c>
      <c r="EY288" s="3">
        <f t="shared" si="182"/>
        <v>0</v>
      </c>
      <c r="EZ288" s="3">
        <f t="shared" si="182"/>
        <v>0</v>
      </c>
      <c r="FA288" s="3">
        <f t="shared" si="182"/>
        <v>0</v>
      </c>
      <c r="FB288" s="3">
        <f t="shared" si="182"/>
        <v>0</v>
      </c>
      <c r="FC288" s="3">
        <f t="shared" si="182"/>
        <v>0</v>
      </c>
      <c r="FD288" s="3">
        <f t="shared" si="182"/>
        <v>0</v>
      </c>
      <c r="FE288" s="3">
        <f t="shared" si="182"/>
        <v>0</v>
      </c>
      <c r="FF288" s="3">
        <f t="shared" si="182"/>
        <v>0</v>
      </c>
      <c r="FG288" s="3">
        <f t="shared" si="182"/>
        <v>0</v>
      </c>
      <c r="FH288" s="3">
        <f t="shared" si="182"/>
        <v>0</v>
      </c>
      <c r="FI288" s="3">
        <f t="shared" si="182"/>
        <v>0</v>
      </c>
      <c r="FJ288" s="3">
        <f t="shared" si="182"/>
        <v>0</v>
      </c>
      <c r="FK288" s="3">
        <f t="shared" si="182"/>
        <v>0</v>
      </c>
      <c r="FL288" s="3">
        <f t="shared" si="182"/>
        <v>0</v>
      </c>
      <c r="FM288" s="3">
        <f t="shared" si="182"/>
        <v>0</v>
      </c>
      <c r="FN288" s="3">
        <f t="shared" si="182"/>
        <v>0</v>
      </c>
      <c r="FO288" s="3">
        <f t="shared" si="182"/>
        <v>0</v>
      </c>
      <c r="FP288" s="3">
        <f t="shared" si="182"/>
        <v>0</v>
      </c>
      <c r="FQ288" s="3">
        <f t="shared" si="182"/>
        <v>0</v>
      </c>
      <c r="FR288" s="3">
        <f t="shared" si="182"/>
        <v>0</v>
      </c>
      <c r="FS288" s="3">
        <f t="shared" ref="FS288:GX288" si="183">FS308</f>
        <v>0</v>
      </c>
      <c r="FT288" s="3">
        <f t="shared" si="183"/>
        <v>0</v>
      </c>
      <c r="FU288" s="3">
        <f t="shared" si="183"/>
        <v>0</v>
      </c>
      <c r="FV288" s="3">
        <f t="shared" si="183"/>
        <v>0</v>
      </c>
      <c r="FW288" s="3">
        <f t="shared" si="183"/>
        <v>0</v>
      </c>
      <c r="FX288" s="3">
        <f t="shared" si="183"/>
        <v>0</v>
      </c>
      <c r="FY288" s="3">
        <f t="shared" si="183"/>
        <v>0</v>
      </c>
      <c r="FZ288" s="3">
        <f t="shared" si="183"/>
        <v>0</v>
      </c>
      <c r="GA288" s="3">
        <f t="shared" si="183"/>
        <v>0</v>
      </c>
      <c r="GB288" s="3">
        <f t="shared" si="183"/>
        <v>0</v>
      </c>
      <c r="GC288" s="3">
        <f t="shared" si="183"/>
        <v>0</v>
      </c>
      <c r="GD288" s="3">
        <f t="shared" si="183"/>
        <v>0</v>
      </c>
      <c r="GE288" s="3">
        <f t="shared" si="183"/>
        <v>0</v>
      </c>
      <c r="GF288" s="3">
        <f t="shared" si="183"/>
        <v>0</v>
      </c>
      <c r="GG288" s="3">
        <f t="shared" si="183"/>
        <v>0</v>
      </c>
      <c r="GH288" s="3">
        <f t="shared" si="183"/>
        <v>0</v>
      </c>
      <c r="GI288" s="3">
        <f t="shared" si="183"/>
        <v>0</v>
      </c>
      <c r="GJ288" s="3">
        <f t="shared" si="183"/>
        <v>0</v>
      </c>
      <c r="GK288" s="3">
        <f t="shared" si="183"/>
        <v>0</v>
      </c>
      <c r="GL288" s="3">
        <f t="shared" si="183"/>
        <v>0</v>
      </c>
      <c r="GM288" s="3">
        <f t="shared" si="183"/>
        <v>0</v>
      </c>
      <c r="GN288" s="3">
        <f t="shared" si="183"/>
        <v>0</v>
      </c>
      <c r="GO288" s="3">
        <f t="shared" si="183"/>
        <v>0</v>
      </c>
      <c r="GP288" s="3">
        <f t="shared" si="183"/>
        <v>0</v>
      </c>
      <c r="GQ288" s="3">
        <f t="shared" si="183"/>
        <v>0</v>
      </c>
      <c r="GR288" s="3">
        <f t="shared" si="183"/>
        <v>0</v>
      </c>
      <c r="GS288" s="3">
        <f t="shared" si="183"/>
        <v>0</v>
      </c>
      <c r="GT288" s="3">
        <f t="shared" si="183"/>
        <v>0</v>
      </c>
      <c r="GU288" s="3">
        <f t="shared" si="183"/>
        <v>0</v>
      </c>
      <c r="GV288" s="3">
        <f t="shared" si="183"/>
        <v>0</v>
      </c>
      <c r="GW288" s="3">
        <f t="shared" si="183"/>
        <v>0</v>
      </c>
      <c r="GX288" s="3">
        <f t="shared" si="183"/>
        <v>0</v>
      </c>
    </row>
    <row r="290" spans="1:245" x14ac:dyDescent="0.2">
      <c r="A290">
        <v>17</v>
      </c>
      <c r="B290">
        <v>1</v>
      </c>
      <c r="C290">
        <f>ROW(SmtRes!A291)</f>
        <v>291</v>
      </c>
      <c r="D290">
        <f>ROW(EtalonRes!A300)</f>
        <v>300</v>
      </c>
      <c r="E290" t="s">
        <v>348</v>
      </c>
      <c r="F290" t="s">
        <v>349</v>
      </c>
      <c r="G290" t="s">
        <v>350</v>
      </c>
      <c r="H290" t="s">
        <v>220</v>
      </c>
      <c r="I290">
        <v>3</v>
      </c>
      <c r="J290">
        <v>0</v>
      </c>
      <c r="K290">
        <v>3</v>
      </c>
      <c r="O290">
        <f t="shared" ref="O290:O306" si="184">ROUND(CP290,2)</f>
        <v>3166.87</v>
      </c>
      <c r="P290">
        <f>SUMIF(SmtRes!AQ290:'SmtRes'!AQ291,"=1",SmtRes!DF290:'SmtRes'!DF291)</f>
        <v>0</v>
      </c>
      <c r="Q290">
        <f>SUMIF(SmtRes!AQ290:'SmtRes'!AQ291,"=1",SmtRes!DG290:'SmtRes'!DG291)</f>
        <v>0</v>
      </c>
      <c r="R290">
        <f>SUMIF(SmtRes!AQ290:'SmtRes'!AQ291,"=1",SmtRes!DH290:'SmtRes'!DH291)</f>
        <v>0</v>
      </c>
      <c r="S290">
        <f>SUMIF(SmtRes!AQ290:'SmtRes'!AQ291,"=1",SmtRes!DI290:'SmtRes'!DI291)</f>
        <v>3166.87</v>
      </c>
      <c r="T290">
        <f t="shared" ref="T290:T306" si="185">ROUND(CU290*I290,2)</f>
        <v>0</v>
      </c>
      <c r="U290">
        <f>SUMIF(SmtRes!AQ290:'SmtRes'!AQ291,"=1",SmtRes!CV290:'SmtRes'!CV291)</f>
        <v>4.8600000000000003</v>
      </c>
      <c r="V290">
        <f>SUMIF(SmtRes!AQ290:'SmtRes'!AQ291,"=1",SmtRes!CW290:'SmtRes'!CW291)</f>
        <v>0</v>
      </c>
      <c r="W290">
        <f t="shared" ref="W290:W306" si="186">ROUND(CX290*I290,2)</f>
        <v>0</v>
      </c>
      <c r="X290">
        <f t="shared" ref="X290:X306" si="187">ROUND(CY290,2)</f>
        <v>2343.48</v>
      </c>
      <c r="Y290">
        <f t="shared" ref="Y290:Y306" si="188">ROUND(CZ290,2)</f>
        <v>1140.07</v>
      </c>
      <c r="AA290">
        <v>65170852</v>
      </c>
      <c r="AB290">
        <f t="shared" ref="AB290:AB306" si="189">ROUND((AC290+AD290+AF290),6)</f>
        <v>1055.6243999999999</v>
      </c>
      <c r="AC290">
        <f t="shared" ref="AC290:AC306" si="190">ROUND((0),6)</f>
        <v>0</v>
      </c>
      <c r="AD290">
        <f t="shared" ref="AD290:AD306" si="191">ROUND((((0)-(0))+AE290),6)</f>
        <v>0</v>
      </c>
      <c r="AE290">
        <f t="shared" ref="AE290:AE306" si="192">ROUND((0),6)</f>
        <v>0</v>
      </c>
      <c r="AF290">
        <f>ROUND((SUM(SmtRes!BT290:'SmtRes'!BT291)),6)</f>
        <v>1055.6243999999999</v>
      </c>
      <c r="AG290">
        <f t="shared" ref="AG290:AG306" si="193">ROUND((AP290),6)</f>
        <v>0</v>
      </c>
      <c r="AH290">
        <f>(SUM(SmtRes!BU290:'SmtRes'!BU291))</f>
        <v>1.62</v>
      </c>
      <c r="AI290">
        <f>(0)</f>
        <v>0</v>
      </c>
      <c r="AJ290">
        <f t="shared" ref="AJ290:AJ306" si="194">(AS290)</f>
        <v>0</v>
      </c>
      <c r="AK290">
        <v>1055.6244000000002</v>
      </c>
      <c r="AL290">
        <v>0</v>
      </c>
      <c r="AM290">
        <v>0</v>
      </c>
      <c r="AN290">
        <v>0</v>
      </c>
      <c r="AO290">
        <v>1055.6244000000002</v>
      </c>
      <c r="AP290">
        <v>0</v>
      </c>
      <c r="AQ290">
        <v>1.62</v>
      </c>
      <c r="AR290">
        <v>0</v>
      </c>
      <c r="AS290">
        <v>0</v>
      </c>
      <c r="AT290">
        <v>74</v>
      </c>
      <c r="AU290">
        <v>36</v>
      </c>
      <c r="AV290">
        <v>1</v>
      </c>
      <c r="AW290">
        <v>1</v>
      </c>
      <c r="AZ290">
        <v>1</v>
      </c>
      <c r="BA290">
        <v>1</v>
      </c>
      <c r="BB290">
        <v>1</v>
      </c>
      <c r="BC290">
        <v>1</v>
      </c>
      <c r="BD290" t="s">
        <v>3</v>
      </c>
      <c r="BE290" t="s">
        <v>3</v>
      </c>
      <c r="BF290" t="s">
        <v>3</v>
      </c>
      <c r="BG290" t="s">
        <v>3</v>
      </c>
      <c r="BH290">
        <v>0</v>
      </c>
      <c r="BI290">
        <v>4</v>
      </c>
      <c r="BJ290" t="s">
        <v>351</v>
      </c>
      <c r="BM290">
        <v>200001</v>
      </c>
      <c r="BN290">
        <v>0</v>
      </c>
      <c r="BO290" t="s">
        <v>3</v>
      </c>
      <c r="BP290">
        <v>0</v>
      </c>
      <c r="BQ290">
        <v>4</v>
      </c>
      <c r="BR290">
        <v>0</v>
      </c>
      <c r="BS290">
        <v>1</v>
      </c>
      <c r="BT290">
        <v>1</v>
      </c>
      <c r="BU290">
        <v>1</v>
      </c>
      <c r="BV290">
        <v>1</v>
      </c>
      <c r="BW290">
        <v>1</v>
      </c>
      <c r="BX290">
        <v>1</v>
      </c>
      <c r="BY290" t="s">
        <v>3</v>
      </c>
      <c r="BZ290">
        <v>74</v>
      </c>
      <c r="CA290">
        <v>36</v>
      </c>
      <c r="CB290" t="s">
        <v>3</v>
      </c>
      <c r="CE290">
        <v>0</v>
      </c>
      <c r="CF290">
        <v>0</v>
      </c>
      <c r="CG290">
        <v>0</v>
      </c>
      <c r="CM290">
        <v>0</v>
      </c>
      <c r="CN290" t="s">
        <v>3</v>
      </c>
      <c r="CO290">
        <v>0</v>
      </c>
      <c r="CP290">
        <f t="shared" ref="CP290:CP306" si="195">(P290+Q290+S290+R290)</f>
        <v>3166.87</v>
      </c>
      <c r="CQ290">
        <f>SUMIF(SmtRes!AQ290:'SmtRes'!AQ291,"=1",SmtRes!AA290:'SmtRes'!AA291)</f>
        <v>0</v>
      </c>
      <c r="CR290">
        <f>SUMIF(SmtRes!AQ290:'SmtRes'!AQ291,"=1",SmtRes!AB290:'SmtRes'!AB291)</f>
        <v>0</v>
      </c>
      <c r="CS290">
        <f>SUMIF(SmtRes!AQ290:'SmtRes'!AQ291,"=1",SmtRes!AC290:'SmtRes'!AC291)</f>
        <v>0</v>
      </c>
      <c r="CT290">
        <f>SUMIF(SmtRes!AQ290:'SmtRes'!AQ291,"=1",SmtRes!AD290:'SmtRes'!AD291)</f>
        <v>1303.24</v>
      </c>
      <c r="CU290">
        <f t="shared" ref="CU290:CU306" si="196">AG290</f>
        <v>0</v>
      </c>
      <c r="CV290">
        <f>SUMIF(SmtRes!AQ290:'SmtRes'!AQ291,"=1",SmtRes!BU290:'SmtRes'!BU291)</f>
        <v>1.62</v>
      </c>
      <c r="CW290">
        <f>SUMIF(SmtRes!AQ290:'SmtRes'!AQ291,"=1",SmtRes!BV290:'SmtRes'!BV291)</f>
        <v>0</v>
      </c>
      <c r="CX290">
        <f t="shared" ref="CX290:CX306" si="197">AJ290</f>
        <v>0</v>
      </c>
      <c r="CY290">
        <f t="shared" ref="CY290:CY306" si="198">(((S290+R290)*AT290)/100)</f>
        <v>2343.4838</v>
      </c>
      <c r="CZ290">
        <f t="shared" ref="CZ290:CZ306" si="199">(((S290+R290)*AU290)/100)</f>
        <v>1140.0731999999998</v>
      </c>
      <c r="DC290" t="s">
        <v>3</v>
      </c>
      <c r="DD290" t="s">
        <v>3</v>
      </c>
      <c r="DE290" t="s">
        <v>3</v>
      </c>
      <c r="DF290" t="s">
        <v>3</v>
      </c>
      <c r="DG290" t="s">
        <v>3</v>
      </c>
      <c r="DH290" t="s">
        <v>3</v>
      </c>
      <c r="DI290" t="s">
        <v>3</v>
      </c>
      <c r="DJ290" t="s">
        <v>3</v>
      </c>
      <c r="DK290" t="s">
        <v>3</v>
      </c>
      <c r="DL290" t="s">
        <v>3</v>
      </c>
      <c r="DM290" t="s">
        <v>3</v>
      </c>
      <c r="DN290">
        <v>0</v>
      </c>
      <c r="DO290">
        <v>0</v>
      </c>
      <c r="DP290">
        <v>1</v>
      </c>
      <c r="DQ290">
        <v>1</v>
      </c>
      <c r="DU290">
        <v>1013</v>
      </c>
      <c r="DV290" t="s">
        <v>220</v>
      </c>
      <c r="DW290" t="s">
        <v>220</v>
      </c>
      <c r="DX290">
        <v>1</v>
      </c>
      <c r="DZ290" t="s">
        <v>3</v>
      </c>
      <c r="EA290" t="s">
        <v>3</v>
      </c>
      <c r="EB290" t="s">
        <v>3</v>
      </c>
      <c r="EC290" t="s">
        <v>3</v>
      </c>
      <c r="EE290">
        <v>64850927</v>
      </c>
      <c r="EF290">
        <v>4</v>
      </c>
      <c r="EG290" t="s">
        <v>347</v>
      </c>
      <c r="EH290">
        <v>83</v>
      </c>
      <c r="EI290" t="s">
        <v>347</v>
      </c>
      <c r="EJ290">
        <v>4</v>
      </c>
      <c r="EK290">
        <v>200001</v>
      </c>
      <c r="EL290" t="s">
        <v>352</v>
      </c>
      <c r="EM290" t="s">
        <v>353</v>
      </c>
      <c r="EO290" t="s">
        <v>3</v>
      </c>
      <c r="EQ290">
        <v>0</v>
      </c>
      <c r="ER290">
        <v>0</v>
      </c>
      <c r="ES290">
        <v>0</v>
      </c>
      <c r="ET290">
        <v>0</v>
      </c>
      <c r="EU290">
        <v>0</v>
      </c>
      <c r="EV290">
        <v>0</v>
      </c>
      <c r="EW290">
        <v>1.62</v>
      </c>
      <c r="EX290">
        <v>0</v>
      </c>
      <c r="EY290">
        <v>0</v>
      </c>
      <c r="FQ290">
        <v>0</v>
      </c>
      <c r="FR290">
        <f t="shared" ref="FR290:FR306" si="200">ROUND(IF(BI290=3,GM290,0),2)</f>
        <v>0</v>
      </c>
      <c r="FS290">
        <v>0</v>
      </c>
      <c r="FX290">
        <v>74</v>
      </c>
      <c r="FY290">
        <v>36</v>
      </c>
      <c r="GA290" t="s">
        <v>3</v>
      </c>
      <c r="GD290">
        <v>1</v>
      </c>
      <c r="GF290">
        <v>937811666</v>
      </c>
      <c r="GG290">
        <v>2</v>
      </c>
      <c r="GH290">
        <v>1</v>
      </c>
      <c r="GI290">
        <v>-2</v>
      </c>
      <c r="GJ290">
        <v>0</v>
      </c>
      <c r="GK290">
        <v>0</v>
      </c>
      <c r="GL290">
        <f t="shared" ref="GL290:GL306" si="201">ROUND(IF(AND(BH290=3,BI290=3,FS290&lt;&gt;0),P290,0),2)</f>
        <v>0</v>
      </c>
      <c r="GM290">
        <f t="shared" ref="GM290:GM306" si="202">ROUND(O290+X290+Y290,2)+GX290</f>
        <v>6650.42</v>
      </c>
      <c r="GN290">
        <f t="shared" ref="GN290:GN306" si="203">IF(OR(BI290=0,BI290=1),GM290-GX290,0)</f>
        <v>0</v>
      </c>
      <c r="GO290">
        <f t="shared" ref="GO290:GO306" si="204">IF(BI290=2,GM290-GX290,0)</f>
        <v>0</v>
      </c>
      <c r="GP290">
        <f t="shared" ref="GP290:GP306" si="205">IF(BI290=4,GM290-GX290,0)</f>
        <v>6650.42</v>
      </c>
      <c r="GR290">
        <v>0</v>
      </c>
      <c r="GS290">
        <v>0</v>
      </c>
      <c r="GT290">
        <v>0</v>
      </c>
      <c r="GU290" t="s">
        <v>3</v>
      </c>
      <c r="GV290">
        <f t="shared" ref="GV290:GV306" si="206">ROUND((GT290),6)</f>
        <v>0</v>
      </c>
      <c r="GW290">
        <v>1</v>
      </c>
      <c r="GX290">
        <f t="shared" ref="GX290:GX306" si="207">ROUND(HC290*I290,2)</f>
        <v>0</v>
      </c>
      <c r="HA290">
        <v>0</v>
      </c>
      <c r="HB290">
        <v>0</v>
      </c>
      <c r="HC290">
        <f t="shared" ref="HC290:HC306" si="208">GV290*GW290</f>
        <v>0</v>
      </c>
      <c r="HE290" t="s">
        <v>3</v>
      </c>
      <c r="HF290" t="s">
        <v>3</v>
      </c>
      <c r="HM290" t="s">
        <v>3</v>
      </c>
      <c r="HN290" t="s">
        <v>354</v>
      </c>
      <c r="HO290" t="s">
        <v>355</v>
      </c>
      <c r="HP290" t="s">
        <v>347</v>
      </c>
      <c r="HQ290" t="s">
        <v>347</v>
      </c>
      <c r="IK290">
        <v>0</v>
      </c>
    </row>
    <row r="291" spans="1:245" x14ac:dyDescent="0.2">
      <c r="A291">
        <v>17</v>
      </c>
      <c r="B291">
        <v>1</v>
      </c>
      <c r="C291">
        <f>ROW(SmtRes!A293)</f>
        <v>293</v>
      </c>
      <c r="D291">
        <f>ROW(EtalonRes!A302)</f>
        <v>302</v>
      </c>
      <c r="E291" t="s">
        <v>356</v>
      </c>
      <c r="F291" t="s">
        <v>357</v>
      </c>
      <c r="G291" t="s">
        <v>358</v>
      </c>
      <c r="H291" t="s">
        <v>220</v>
      </c>
      <c r="I291">
        <v>1</v>
      </c>
      <c r="J291">
        <v>0</v>
      </c>
      <c r="K291">
        <v>1</v>
      </c>
      <c r="O291">
        <f t="shared" si="184"/>
        <v>7124.48</v>
      </c>
      <c r="P291">
        <f>SUMIF(SmtRes!AQ292:'SmtRes'!AQ293,"=1",SmtRes!DF292:'SmtRes'!DF293)</f>
        <v>0</v>
      </c>
      <c r="Q291">
        <f>SUMIF(SmtRes!AQ292:'SmtRes'!AQ293,"=1",SmtRes!DG292:'SmtRes'!DG293)</f>
        <v>0</v>
      </c>
      <c r="R291">
        <f>SUMIF(SmtRes!AQ292:'SmtRes'!AQ293,"=1",SmtRes!DH292:'SmtRes'!DH293)</f>
        <v>0</v>
      </c>
      <c r="S291">
        <f>SUMIF(SmtRes!AQ292:'SmtRes'!AQ293,"=1",SmtRes!DI292:'SmtRes'!DI293)</f>
        <v>7124.48</v>
      </c>
      <c r="T291">
        <f t="shared" si="185"/>
        <v>0</v>
      </c>
      <c r="U291">
        <f>SUMIF(SmtRes!AQ292:'SmtRes'!AQ293,"=1",SmtRes!CV292:'SmtRes'!CV293)</f>
        <v>10.8</v>
      </c>
      <c r="V291">
        <f>SUMIF(SmtRes!AQ292:'SmtRes'!AQ293,"=1",SmtRes!CW292:'SmtRes'!CW293)</f>
        <v>0</v>
      </c>
      <c r="W291">
        <f t="shared" si="186"/>
        <v>0</v>
      </c>
      <c r="X291">
        <f t="shared" si="187"/>
        <v>5272.12</v>
      </c>
      <c r="Y291">
        <f t="shared" si="188"/>
        <v>2564.81</v>
      </c>
      <c r="AA291">
        <v>65170852</v>
      </c>
      <c r="AB291">
        <f t="shared" si="189"/>
        <v>7124.4791999999998</v>
      </c>
      <c r="AC291">
        <f t="shared" si="190"/>
        <v>0</v>
      </c>
      <c r="AD291">
        <f t="shared" si="191"/>
        <v>0</v>
      </c>
      <c r="AE291">
        <f t="shared" si="192"/>
        <v>0</v>
      </c>
      <c r="AF291">
        <f>ROUND((SUM(SmtRes!BT292:'SmtRes'!BT293)),6)</f>
        <v>7124.4791999999998</v>
      </c>
      <c r="AG291">
        <f t="shared" si="193"/>
        <v>0</v>
      </c>
      <c r="AH291">
        <f>(SUM(SmtRes!BU292:'SmtRes'!BU293))</f>
        <v>10.8</v>
      </c>
      <c r="AI291">
        <f>(0)</f>
        <v>0</v>
      </c>
      <c r="AJ291">
        <f t="shared" si="194"/>
        <v>0</v>
      </c>
      <c r="AK291">
        <v>7124.4792000000016</v>
      </c>
      <c r="AL291">
        <v>0</v>
      </c>
      <c r="AM291">
        <v>0</v>
      </c>
      <c r="AN291">
        <v>0</v>
      </c>
      <c r="AO291">
        <v>7124.4792000000016</v>
      </c>
      <c r="AP291">
        <v>0</v>
      </c>
      <c r="AQ291">
        <v>10.8</v>
      </c>
      <c r="AR291">
        <v>0</v>
      </c>
      <c r="AS291">
        <v>0</v>
      </c>
      <c r="AT291">
        <v>74</v>
      </c>
      <c r="AU291">
        <v>36</v>
      </c>
      <c r="AV291">
        <v>1</v>
      </c>
      <c r="AW291">
        <v>1</v>
      </c>
      <c r="AZ291">
        <v>1</v>
      </c>
      <c r="BA291">
        <v>1</v>
      </c>
      <c r="BB291">
        <v>1</v>
      </c>
      <c r="BC291">
        <v>1</v>
      </c>
      <c r="BD291" t="s">
        <v>3</v>
      </c>
      <c r="BE291" t="s">
        <v>3</v>
      </c>
      <c r="BF291" t="s">
        <v>3</v>
      </c>
      <c r="BG291" t="s">
        <v>3</v>
      </c>
      <c r="BH291">
        <v>0</v>
      </c>
      <c r="BI291">
        <v>4</v>
      </c>
      <c r="BJ291" t="s">
        <v>359</v>
      </c>
      <c r="BM291">
        <v>200001</v>
      </c>
      <c r="BN291">
        <v>0</v>
      </c>
      <c r="BO291" t="s">
        <v>3</v>
      </c>
      <c r="BP291">
        <v>0</v>
      </c>
      <c r="BQ291">
        <v>4</v>
      </c>
      <c r="BR291">
        <v>0</v>
      </c>
      <c r="BS291">
        <v>1</v>
      </c>
      <c r="BT291">
        <v>1</v>
      </c>
      <c r="BU291">
        <v>1</v>
      </c>
      <c r="BV291">
        <v>1</v>
      </c>
      <c r="BW291">
        <v>1</v>
      </c>
      <c r="BX291">
        <v>1</v>
      </c>
      <c r="BY291" t="s">
        <v>3</v>
      </c>
      <c r="BZ291">
        <v>74</v>
      </c>
      <c r="CA291">
        <v>36</v>
      </c>
      <c r="CB291" t="s">
        <v>3</v>
      </c>
      <c r="CE291">
        <v>0</v>
      </c>
      <c r="CF291">
        <v>0</v>
      </c>
      <c r="CG291">
        <v>0</v>
      </c>
      <c r="CM291">
        <v>0</v>
      </c>
      <c r="CN291" t="s">
        <v>3</v>
      </c>
      <c r="CO291">
        <v>0</v>
      </c>
      <c r="CP291">
        <f t="shared" si="195"/>
        <v>7124.48</v>
      </c>
      <c r="CQ291">
        <f>SUMIF(SmtRes!AQ292:'SmtRes'!AQ293,"=1",SmtRes!AA292:'SmtRes'!AA293)</f>
        <v>0</v>
      </c>
      <c r="CR291">
        <f>SUMIF(SmtRes!AQ292:'SmtRes'!AQ293,"=1",SmtRes!AB292:'SmtRes'!AB293)</f>
        <v>0</v>
      </c>
      <c r="CS291">
        <f>SUMIF(SmtRes!AQ292:'SmtRes'!AQ293,"=1",SmtRes!AC292:'SmtRes'!AC293)</f>
        <v>0</v>
      </c>
      <c r="CT291">
        <f>SUMIF(SmtRes!AQ292:'SmtRes'!AQ293,"=1",SmtRes!AD292:'SmtRes'!AD293)</f>
        <v>1255.6500000000001</v>
      </c>
      <c r="CU291">
        <f t="shared" si="196"/>
        <v>0</v>
      </c>
      <c r="CV291">
        <f>SUMIF(SmtRes!AQ292:'SmtRes'!AQ293,"=1",SmtRes!BU292:'SmtRes'!BU293)</f>
        <v>10.8</v>
      </c>
      <c r="CW291">
        <f>SUMIF(SmtRes!AQ292:'SmtRes'!AQ293,"=1",SmtRes!BV292:'SmtRes'!BV293)</f>
        <v>0</v>
      </c>
      <c r="CX291">
        <f t="shared" si="197"/>
        <v>0</v>
      </c>
      <c r="CY291">
        <f t="shared" si="198"/>
        <v>5272.1152000000002</v>
      </c>
      <c r="CZ291">
        <f t="shared" si="199"/>
        <v>2564.8127999999997</v>
      </c>
      <c r="DC291" t="s">
        <v>3</v>
      </c>
      <c r="DD291" t="s">
        <v>3</v>
      </c>
      <c r="DE291" t="s">
        <v>3</v>
      </c>
      <c r="DF291" t="s">
        <v>3</v>
      </c>
      <c r="DG291" t="s">
        <v>3</v>
      </c>
      <c r="DH291" t="s">
        <v>3</v>
      </c>
      <c r="DI291" t="s">
        <v>3</v>
      </c>
      <c r="DJ291" t="s">
        <v>3</v>
      </c>
      <c r="DK291" t="s">
        <v>3</v>
      </c>
      <c r="DL291" t="s">
        <v>3</v>
      </c>
      <c r="DM291" t="s">
        <v>3</v>
      </c>
      <c r="DN291">
        <v>0</v>
      </c>
      <c r="DO291">
        <v>0</v>
      </c>
      <c r="DP291">
        <v>1</v>
      </c>
      <c r="DQ291">
        <v>1</v>
      </c>
      <c r="DU291">
        <v>1013</v>
      </c>
      <c r="DV291" t="s">
        <v>220</v>
      </c>
      <c r="DW291" t="s">
        <v>220</v>
      </c>
      <c r="DX291">
        <v>1</v>
      </c>
      <c r="DZ291" t="s">
        <v>3</v>
      </c>
      <c r="EA291" t="s">
        <v>3</v>
      </c>
      <c r="EB291" t="s">
        <v>3</v>
      </c>
      <c r="EC291" t="s">
        <v>3</v>
      </c>
      <c r="EE291">
        <v>64850927</v>
      </c>
      <c r="EF291">
        <v>4</v>
      </c>
      <c r="EG291" t="s">
        <v>347</v>
      </c>
      <c r="EH291">
        <v>83</v>
      </c>
      <c r="EI291" t="s">
        <v>347</v>
      </c>
      <c r="EJ291">
        <v>4</v>
      </c>
      <c r="EK291">
        <v>200001</v>
      </c>
      <c r="EL291" t="s">
        <v>352</v>
      </c>
      <c r="EM291" t="s">
        <v>353</v>
      </c>
      <c r="EO291" t="s">
        <v>3</v>
      </c>
      <c r="EQ291">
        <v>0</v>
      </c>
      <c r="ER291">
        <v>0</v>
      </c>
      <c r="ES291">
        <v>0</v>
      </c>
      <c r="ET291">
        <v>0</v>
      </c>
      <c r="EU291">
        <v>0</v>
      </c>
      <c r="EV291">
        <v>0</v>
      </c>
      <c r="EW291">
        <v>10.8</v>
      </c>
      <c r="EX291">
        <v>0</v>
      </c>
      <c r="EY291">
        <v>0</v>
      </c>
      <c r="FQ291">
        <v>0</v>
      </c>
      <c r="FR291">
        <f t="shared" si="200"/>
        <v>0</v>
      </c>
      <c r="FS291">
        <v>0</v>
      </c>
      <c r="FX291">
        <v>74</v>
      </c>
      <c r="FY291">
        <v>36</v>
      </c>
      <c r="GA291" t="s">
        <v>3</v>
      </c>
      <c r="GD291">
        <v>1</v>
      </c>
      <c r="GF291">
        <v>-1728712753</v>
      </c>
      <c r="GG291">
        <v>2</v>
      </c>
      <c r="GH291">
        <v>1</v>
      </c>
      <c r="GI291">
        <v>-2</v>
      </c>
      <c r="GJ291">
        <v>0</v>
      </c>
      <c r="GK291">
        <v>0</v>
      </c>
      <c r="GL291">
        <f t="shared" si="201"/>
        <v>0</v>
      </c>
      <c r="GM291">
        <f t="shared" si="202"/>
        <v>14961.41</v>
      </c>
      <c r="GN291">
        <f t="shared" si="203"/>
        <v>0</v>
      </c>
      <c r="GO291">
        <f t="shared" si="204"/>
        <v>0</v>
      </c>
      <c r="GP291">
        <f t="shared" si="205"/>
        <v>14961.41</v>
      </c>
      <c r="GR291">
        <v>0</v>
      </c>
      <c r="GS291">
        <v>0</v>
      </c>
      <c r="GT291">
        <v>0</v>
      </c>
      <c r="GU291" t="s">
        <v>3</v>
      </c>
      <c r="GV291">
        <f t="shared" si="206"/>
        <v>0</v>
      </c>
      <c r="GW291">
        <v>1</v>
      </c>
      <c r="GX291">
        <f t="shared" si="207"/>
        <v>0</v>
      </c>
      <c r="HA291">
        <v>0</v>
      </c>
      <c r="HB291">
        <v>0</v>
      </c>
      <c r="HC291">
        <f t="shared" si="208"/>
        <v>0</v>
      </c>
      <c r="HE291" t="s">
        <v>3</v>
      </c>
      <c r="HF291" t="s">
        <v>3</v>
      </c>
      <c r="HM291" t="s">
        <v>3</v>
      </c>
      <c r="HN291" t="s">
        <v>354</v>
      </c>
      <c r="HO291" t="s">
        <v>355</v>
      </c>
      <c r="HP291" t="s">
        <v>347</v>
      </c>
      <c r="HQ291" t="s">
        <v>347</v>
      </c>
      <c r="IK291">
        <v>0</v>
      </c>
    </row>
    <row r="292" spans="1:245" x14ac:dyDescent="0.2">
      <c r="A292">
        <v>17</v>
      </c>
      <c r="B292">
        <v>1</v>
      </c>
      <c r="C292">
        <f>ROW(SmtRes!A295)</f>
        <v>295</v>
      </c>
      <c r="D292">
        <f>ROW(EtalonRes!A304)</f>
        <v>304</v>
      </c>
      <c r="E292" t="s">
        <v>360</v>
      </c>
      <c r="F292" t="s">
        <v>361</v>
      </c>
      <c r="G292" t="s">
        <v>362</v>
      </c>
      <c r="H292" t="s">
        <v>363</v>
      </c>
      <c r="I292">
        <v>2</v>
      </c>
      <c r="J292">
        <v>0</v>
      </c>
      <c r="K292">
        <v>2</v>
      </c>
      <c r="O292">
        <f t="shared" si="184"/>
        <v>2111.25</v>
      </c>
      <c r="P292">
        <f>SUMIF(SmtRes!AQ294:'SmtRes'!AQ295,"=1",SmtRes!DF294:'SmtRes'!DF295)</f>
        <v>0</v>
      </c>
      <c r="Q292">
        <f>SUMIF(SmtRes!AQ294:'SmtRes'!AQ295,"=1",SmtRes!DG294:'SmtRes'!DG295)</f>
        <v>0</v>
      </c>
      <c r="R292">
        <f>SUMIF(SmtRes!AQ294:'SmtRes'!AQ295,"=1",SmtRes!DH294:'SmtRes'!DH295)</f>
        <v>0</v>
      </c>
      <c r="S292">
        <f>SUMIF(SmtRes!AQ294:'SmtRes'!AQ295,"=1",SmtRes!DI294:'SmtRes'!DI295)</f>
        <v>2111.25</v>
      </c>
      <c r="T292">
        <f t="shared" si="185"/>
        <v>0</v>
      </c>
      <c r="U292">
        <f>SUMIF(SmtRes!AQ294:'SmtRes'!AQ295,"=1",SmtRes!CV294:'SmtRes'!CV295)</f>
        <v>3.24</v>
      </c>
      <c r="V292">
        <f>SUMIF(SmtRes!AQ294:'SmtRes'!AQ295,"=1",SmtRes!CW294:'SmtRes'!CW295)</f>
        <v>0</v>
      </c>
      <c r="W292">
        <f t="shared" si="186"/>
        <v>0</v>
      </c>
      <c r="X292">
        <f t="shared" si="187"/>
        <v>1562.33</v>
      </c>
      <c r="Y292">
        <f t="shared" si="188"/>
        <v>760.05</v>
      </c>
      <c r="AA292">
        <v>65170852</v>
      </c>
      <c r="AB292">
        <f t="shared" si="189"/>
        <v>1055.6243999999999</v>
      </c>
      <c r="AC292">
        <f t="shared" si="190"/>
        <v>0</v>
      </c>
      <c r="AD292">
        <f t="shared" si="191"/>
        <v>0</v>
      </c>
      <c r="AE292">
        <f t="shared" si="192"/>
        <v>0</v>
      </c>
      <c r="AF292">
        <f>ROUND((SUM(SmtRes!BT294:'SmtRes'!BT295)),6)</f>
        <v>1055.6243999999999</v>
      </c>
      <c r="AG292">
        <f t="shared" si="193"/>
        <v>0</v>
      </c>
      <c r="AH292">
        <f>(SUM(SmtRes!BU294:'SmtRes'!BU295))</f>
        <v>1.62</v>
      </c>
      <c r="AI292">
        <f>(0)</f>
        <v>0</v>
      </c>
      <c r="AJ292">
        <f t="shared" si="194"/>
        <v>0</v>
      </c>
      <c r="AK292">
        <v>1055.6244000000002</v>
      </c>
      <c r="AL292">
        <v>0</v>
      </c>
      <c r="AM292">
        <v>0</v>
      </c>
      <c r="AN292">
        <v>0</v>
      </c>
      <c r="AO292">
        <v>1055.6244000000002</v>
      </c>
      <c r="AP292">
        <v>0</v>
      </c>
      <c r="AQ292">
        <v>1.62</v>
      </c>
      <c r="AR292">
        <v>0</v>
      </c>
      <c r="AS292">
        <v>0</v>
      </c>
      <c r="AT292">
        <v>74</v>
      </c>
      <c r="AU292">
        <v>36</v>
      </c>
      <c r="AV292">
        <v>1</v>
      </c>
      <c r="AW292">
        <v>1</v>
      </c>
      <c r="AZ292">
        <v>1</v>
      </c>
      <c r="BA292">
        <v>1</v>
      </c>
      <c r="BB292">
        <v>1</v>
      </c>
      <c r="BC292">
        <v>1</v>
      </c>
      <c r="BD292" t="s">
        <v>3</v>
      </c>
      <c r="BE292" t="s">
        <v>3</v>
      </c>
      <c r="BF292" t="s">
        <v>3</v>
      </c>
      <c r="BG292" t="s">
        <v>3</v>
      </c>
      <c r="BH292">
        <v>0</v>
      </c>
      <c r="BI292">
        <v>4</v>
      </c>
      <c r="BJ292" t="s">
        <v>364</v>
      </c>
      <c r="BM292">
        <v>200001</v>
      </c>
      <c r="BN292">
        <v>0</v>
      </c>
      <c r="BO292" t="s">
        <v>3</v>
      </c>
      <c r="BP292">
        <v>0</v>
      </c>
      <c r="BQ292">
        <v>4</v>
      </c>
      <c r="BR292">
        <v>0</v>
      </c>
      <c r="BS292">
        <v>1</v>
      </c>
      <c r="BT292">
        <v>1</v>
      </c>
      <c r="BU292">
        <v>1</v>
      </c>
      <c r="BV292">
        <v>1</v>
      </c>
      <c r="BW292">
        <v>1</v>
      </c>
      <c r="BX292">
        <v>1</v>
      </c>
      <c r="BY292" t="s">
        <v>3</v>
      </c>
      <c r="BZ292">
        <v>74</v>
      </c>
      <c r="CA292">
        <v>36</v>
      </c>
      <c r="CB292" t="s">
        <v>3</v>
      </c>
      <c r="CE292">
        <v>0</v>
      </c>
      <c r="CF292">
        <v>0</v>
      </c>
      <c r="CG292">
        <v>0</v>
      </c>
      <c r="CM292">
        <v>0</v>
      </c>
      <c r="CN292" t="s">
        <v>3</v>
      </c>
      <c r="CO292">
        <v>0</v>
      </c>
      <c r="CP292">
        <f t="shared" si="195"/>
        <v>2111.25</v>
      </c>
      <c r="CQ292">
        <f>SUMIF(SmtRes!AQ294:'SmtRes'!AQ295,"=1",SmtRes!AA294:'SmtRes'!AA295)</f>
        <v>0</v>
      </c>
      <c r="CR292">
        <f>SUMIF(SmtRes!AQ294:'SmtRes'!AQ295,"=1",SmtRes!AB294:'SmtRes'!AB295)</f>
        <v>0</v>
      </c>
      <c r="CS292">
        <f>SUMIF(SmtRes!AQ294:'SmtRes'!AQ295,"=1",SmtRes!AC294:'SmtRes'!AC295)</f>
        <v>0</v>
      </c>
      <c r="CT292">
        <f>SUMIF(SmtRes!AQ294:'SmtRes'!AQ295,"=1",SmtRes!AD294:'SmtRes'!AD295)</f>
        <v>1303.24</v>
      </c>
      <c r="CU292">
        <f t="shared" si="196"/>
        <v>0</v>
      </c>
      <c r="CV292">
        <f>SUMIF(SmtRes!AQ294:'SmtRes'!AQ295,"=1",SmtRes!BU294:'SmtRes'!BU295)</f>
        <v>1.62</v>
      </c>
      <c r="CW292">
        <f>SUMIF(SmtRes!AQ294:'SmtRes'!AQ295,"=1",SmtRes!BV294:'SmtRes'!BV295)</f>
        <v>0</v>
      </c>
      <c r="CX292">
        <f t="shared" si="197"/>
        <v>0</v>
      </c>
      <c r="CY292">
        <f t="shared" si="198"/>
        <v>1562.325</v>
      </c>
      <c r="CZ292">
        <f t="shared" si="199"/>
        <v>760.05</v>
      </c>
      <c r="DC292" t="s">
        <v>3</v>
      </c>
      <c r="DD292" t="s">
        <v>3</v>
      </c>
      <c r="DE292" t="s">
        <v>3</v>
      </c>
      <c r="DF292" t="s">
        <v>3</v>
      </c>
      <c r="DG292" t="s">
        <v>3</v>
      </c>
      <c r="DH292" t="s">
        <v>3</v>
      </c>
      <c r="DI292" t="s">
        <v>3</v>
      </c>
      <c r="DJ292" t="s">
        <v>3</v>
      </c>
      <c r="DK292" t="s">
        <v>3</v>
      </c>
      <c r="DL292" t="s">
        <v>3</v>
      </c>
      <c r="DM292" t="s">
        <v>3</v>
      </c>
      <c r="DN292">
        <v>0</v>
      </c>
      <c r="DO292">
        <v>0</v>
      </c>
      <c r="DP292">
        <v>1</v>
      </c>
      <c r="DQ292">
        <v>1</v>
      </c>
      <c r="DU292">
        <v>1013</v>
      </c>
      <c r="DV292" t="s">
        <v>363</v>
      </c>
      <c r="DW292" t="s">
        <v>363</v>
      </c>
      <c r="DX292">
        <v>1</v>
      </c>
      <c r="DZ292" t="s">
        <v>3</v>
      </c>
      <c r="EA292" t="s">
        <v>3</v>
      </c>
      <c r="EB292" t="s">
        <v>3</v>
      </c>
      <c r="EC292" t="s">
        <v>3</v>
      </c>
      <c r="EE292">
        <v>64850927</v>
      </c>
      <c r="EF292">
        <v>4</v>
      </c>
      <c r="EG292" t="s">
        <v>347</v>
      </c>
      <c r="EH292">
        <v>83</v>
      </c>
      <c r="EI292" t="s">
        <v>347</v>
      </c>
      <c r="EJ292">
        <v>4</v>
      </c>
      <c r="EK292">
        <v>200001</v>
      </c>
      <c r="EL292" t="s">
        <v>352</v>
      </c>
      <c r="EM292" t="s">
        <v>353</v>
      </c>
      <c r="EO292" t="s">
        <v>3</v>
      </c>
      <c r="EQ292">
        <v>0</v>
      </c>
      <c r="ER292">
        <v>0</v>
      </c>
      <c r="ES292">
        <v>0</v>
      </c>
      <c r="ET292">
        <v>0</v>
      </c>
      <c r="EU292">
        <v>0</v>
      </c>
      <c r="EV292">
        <v>0</v>
      </c>
      <c r="EW292">
        <v>1.62</v>
      </c>
      <c r="EX292">
        <v>0</v>
      </c>
      <c r="EY292">
        <v>0</v>
      </c>
      <c r="FQ292">
        <v>0</v>
      </c>
      <c r="FR292">
        <f t="shared" si="200"/>
        <v>0</v>
      </c>
      <c r="FS292">
        <v>0</v>
      </c>
      <c r="FX292">
        <v>74</v>
      </c>
      <c r="FY292">
        <v>36</v>
      </c>
      <c r="GA292" t="s">
        <v>3</v>
      </c>
      <c r="GD292">
        <v>1</v>
      </c>
      <c r="GF292">
        <v>111326091</v>
      </c>
      <c r="GG292">
        <v>2</v>
      </c>
      <c r="GH292">
        <v>1</v>
      </c>
      <c r="GI292">
        <v>-2</v>
      </c>
      <c r="GJ292">
        <v>0</v>
      </c>
      <c r="GK292">
        <v>0</v>
      </c>
      <c r="GL292">
        <f t="shared" si="201"/>
        <v>0</v>
      </c>
      <c r="GM292">
        <f t="shared" si="202"/>
        <v>4433.63</v>
      </c>
      <c r="GN292">
        <f t="shared" si="203"/>
        <v>0</v>
      </c>
      <c r="GO292">
        <f t="shared" si="204"/>
        <v>0</v>
      </c>
      <c r="GP292">
        <f t="shared" si="205"/>
        <v>4433.63</v>
      </c>
      <c r="GR292">
        <v>0</v>
      </c>
      <c r="GS292">
        <v>0</v>
      </c>
      <c r="GT292">
        <v>0</v>
      </c>
      <c r="GU292" t="s">
        <v>3</v>
      </c>
      <c r="GV292">
        <f t="shared" si="206"/>
        <v>0</v>
      </c>
      <c r="GW292">
        <v>1</v>
      </c>
      <c r="GX292">
        <f t="shared" si="207"/>
        <v>0</v>
      </c>
      <c r="HA292">
        <v>0</v>
      </c>
      <c r="HB292">
        <v>0</v>
      </c>
      <c r="HC292">
        <f t="shared" si="208"/>
        <v>0</v>
      </c>
      <c r="HE292" t="s">
        <v>3</v>
      </c>
      <c r="HF292" t="s">
        <v>3</v>
      </c>
      <c r="HM292" t="s">
        <v>3</v>
      </c>
      <c r="HN292" t="s">
        <v>354</v>
      </c>
      <c r="HO292" t="s">
        <v>355</v>
      </c>
      <c r="HP292" t="s">
        <v>347</v>
      </c>
      <c r="HQ292" t="s">
        <v>347</v>
      </c>
      <c r="IK292">
        <v>0</v>
      </c>
    </row>
    <row r="293" spans="1:245" x14ac:dyDescent="0.2">
      <c r="A293">
        <v>17</v>
      </c>
      <c r="B293">
        <v>1</v>
      </c>
      <c r="C293">
        <f>ROW(SmtRes!A297)</f>
        <v>297</v>
      </c>
      <c r="D293">
        <f>ROW(EtalonRes!A306)</f>
        <v>306</v>
      </c>
      <c r="E293" t="s">
        <v>365</v>
      </c>
      <c r="F293" t="s">
        <v>366</v>
      </c>
      <c r="G293" t="s">
        <v>367</v>
      </c>
      <c r="H293" t="s">
        <v>368</v>
      </c>
      <c r="I293">
        <v>2</v>
      </c>
      <c r="J293">
        <v>0</v>
      </c>
      <c r="K293">
        <v>2</v>
      </c>
      <c r="O293">
        <f t="shared" si="184"/>
        <v>3188.85</v>
      </c>
      <c r="P293">
        <f>SUMIF(SmtRes!AQ296:'SmtRes'!AQ297,"=1",SmtRes!DF296:'SmtRes'!DF297)</f>
        <v>0</v>
      </c>
      <c r="Q293">
        <f>SUMIF(SmtRes!AQ296:'SmtRes'!AQ297,"=1",SmtRes!DG296:'SmtRes'!DG297)</f>
        <v>0</v>
      </c>
      <c r="R293">
        <f>SUMIF(SmtRes!AQ296:'SmtRes'!AQ297,"=1",SmtRes!DH296:'SmtRes'!DH297)</f>
        <v>0</v>
      </c>
      <c r="S293">
        <f>SUMIF(SmtRes!AQ296:'SmtRes'!AQ297,"=1",SmtRes!DI296:'SmtRes'!DI297)</f>
        <v>3188.85</v>
      </c>
      <c r="T293">
        <f t="shared" si="185"/>
        <v>0</v>
      </c>
      <c r="U293">
        <f>SUMIF(SmtRes!AQ296:'SmtRes'!AQ297,"=1",SmtRes!CV296:'SmtRes'!CV297)</f>
        <v>4.8599999999999994</v>
      </c>
      <c r="V293">
        <f>SUMIF(SmtRes!AQ296:'SmtRes'!AQ297,"=1",SmtRes!CW296:'SmtRes'!CW297)</f>
        <v>0</v>
      </c>
      <c r="W293">
        <f t="shared" si="186"/>
        <v>0</v>
      </c>
      <c r="X293">
        <f t="shared" si="187"/>
        <v>2359.75</v>
      </c>
      <c r="Y293">
        <f t="shared" si="188"/>
        <v>1147.99</v>
      </c>
      <c r="AA293">
        <v>65170852</v>
      </c>
      <c r="AB293">
        <f t="shared" si="189"/>
        <v>1594.4264000000001</v>
      </c>
      <c r="AC293">
        <f t="shared" si="190"/>
        <v>0</v>
      </c>
      <c r="AD293">
        <f t="shared" si="191"/>
        <v>0</v>
      </c>
      <c r="AE293">
        <f t="shared" si="192"/>
        <v>0</v>
      </c>
      <c r="AF293">
        <f>ROUND((SUM(SmtRes!BT296:'SmtRes'!BT297)),6)</f>
        <v>1594.4264000000001</v>
      </c>
      <c r="AG293">
        <f t="shared" si="193"/>
        <v>0</v>
      </c>
      <c r="AH293">
        <f>(SUM(SmtRes!BU296:'SmtRes'!BU297))</f>
        <v>2.4299999999999997</v>
      </c>
      <c r="AI293">
        <f>(0)</f>
        <v>0</v>
      </c>
      <c r="AJ293">
        <f t="shared" si="194"/>
        <v>0</v>
      </c>
      <c r="AK293">
        <v>1594.4263999999998</v>
      </c>
      <c r="AL293">
        <v>0</v>
      </c>
      <c r="AM293">
        <v>0</v>
      </c>
      <c r="AN293">
        <v>0</v>
      </c>
      <c r="AO293">
        <v>1594.4263999999998</v>
      </c>
      <c r="AP293">
        <v>0</v>
      </c>
      <c r="AQ293">
        <v>2.4299999999999997</v>
      </c>
      <c r="AR293">
        <v>0</v>
      </c>
      <c r="AS293">
        <v>0</v>
      </c>
      <c r="AT293">
        <v>74</v>
      </c>
      <c r="AU293">
        <v>36</v>
      </c>
      <c r="AV293">
        <v>1</v>
      </c>
      <c r="AW293">
        <v>1</v>
      </c>
      <c r="AZ293">
        <v>1</v>
      </c>
      <c r="BA293">
        <v>1</v>
      </c>
      <c r="BB293">
        <v>1</v>
      </c>
      <c r="BC293">
        <v>1</v>
      </c>
      <c r="BD293" t="s">
        <v>3</v>
      </c>
      <c r="BE293" t="s">
        <v>3</v>
      </c>
      <c r="BF293" t="s">
        <v>3</v>
      </c>
      <c r="BG293" t="s">
        <v>3</v>
      </c>
      <c r="BH293">
        <v>0</v>
      </c>
      <c r="BI293">
        <v>4</v>
      </c>
      <c r="BJ293" t="s">
        <v>369</v>
      </c>
      <c r="BM293">
        <v>200001</v>
      </c>
      <c r="BN293">
        <v>0</v>
      </c>
      <c r="BO293" t="s">
        <v>3</v>
      </c>
      <c r="BP293">
        <v>0</v>
      </c>
      <c r="BQ293">
        <v>4</v>
      </c>
      <c r="BR293">
        <v>0</v>
      </c>
      <c r="BS293">
        <v>1</v>
      </c>
      <c r="BT293">
        <v>1</v>
      </c>
      <c r="BU293">
        <v>1</v>
      </c>
      <c r="BV293">
        <v>1</v>
      </c>
      <c r="BW293">
        <v>1</v>
      </c>
      <c r="BX293">
        <v>1</v>
      </c>
      <c r="BY293" t="s">
        <v>3</v>
      </c>
      <c r="BZ293">
        <v>74</v>
      </c>
      <c r="CA293">
        <v>36</v>
      </c>
      <c r="CB293" t="s">
        <v>3</v>
      </c>
      <c r="CE293">
        <v>0</v>
      </c>
      <c r="CF293">
        <v>0</v>
      </c>
      <c r="CG293">
        <v>0</v>
      </c>
      <c r="CM293">
        <v>0</v>
      </c>
      <c r="CN293" t="s">
        <v>3</v>
      </c>
      <c r="CO293">
        <v>0</v>
      </c>
      <c r="CP293">
        <f t="shared" si="195"/>
        <v>3188.85</v>
      </c>
      <c r="CQ293">
        <f>SUMIF(SmtRes!AQ296:'SmtRes'!AQ297,"=1",SmtRes!AA296:'SmtRes'!AA297)</f>
        <v>0</v>
      </c>
      <c r="CR293">
        <f>SUMIF(SmtRes!AQ296:'SmtRes'!AQ297,"=1",SmtRes!AB296:'SmtRes'!AB297)</f>
        <v>0</v>
      </c>
      <c r="CS293">
        <f>SUMIF(SmtRes!AQ296:'SmtRes'!AQ297,"=1",SmtRes!AC296:'SmtRes'!AC297)</f>
        <v>0</v>
      </c>
      <c r="CT293">
        <f>SUMIF(SmtRes!AQ296:'SmtRes'!AQ297,"=1",SmtRes!AD296:'SmtRes'!AD297)</f>
        <v>1281.28</v>
      </c>
      <c r="CU293">
        <f t="shared" si="196"/>
        <v>0</v>
      </c>
      <c r="CV293">
        <f>SUMIF(SmtRes!AQ296:'SmtRes'!AQ297,"=1",SmtRes!BU296:'SmtRes'!BU297)</f>
        <v>2.4299999999999997</v>
      </c>
      <c r="CW293">
        <f>SUMIF(SmtRes!AQ296:'SmtRes'!AQ297,"=1",SmtRes!BV296:'SmtRes'!BV297)</f>
        <v>0</v>
      </c>
      <c r="CX293">
        <f t="shared" si="197"/>
        <v>0</v>
      </c>
      <c r="CY293">
        <f t="shared" si="198"/>
        <v>2359.7489999999998</v>
      </c>
      <c r="CZ293">
        <f t="shared" si="199"/>
        <v>1147.9859999999999</v>
      </c>
      <c r="DC293" t="s">
        <v>3</v>
      </c>
      <c r="DD293" t="s">
        <v>3</v>
      </c>
      <c r="DE293" t="s">
        <v>3</v>
      </c>
      <c r="DF293" t="s">
        <v>3</v>
      </c>
      <c r="DG293" t="s">
        <v>3</v>
      </c>
      <c r="DH293" t="s">
        <v>3</v>
      </c>
      <c r="DI293" t="s">
        <v>3</v>
      </c>
      <c r="DJ293" t="s">
        <v>3</v>
      </c>
      <c r="DK293" t="s">
        <v>3</v>
      </c>
      <c r="DL293" t="s">
        <v>3</v>
      </c>
      <c r="DM293" t="s">
        <v>3</v>
      </c>
      <c r="DN293">
        <v>0</v>
      </c>
      <c r="DO293">
        <v>0</v>
      </c>
      <c r="DP293">
        <v>1</v>
      </c>
      <c r="DQ293">
        <v>1</v>
      </c>
      <c r="DU293">
        <v>1013</v>
      </c>
      <c r="DV293" t="s">
        <v>368</v>
      </c>
      <c r="DW293" t="s">
        <v>368</v>
      </c>
      <c r="DX293">
        <v>1</v>
      </c>
      <c r="DZ293" t="s">
        <v>3</v>
      </c>
      <c r="EA293" t="s">
        <v>3</v>
      </c>
      <c r="EB293" t="s">
        <v>3</v>
      </c>
      <c r="EC293" t="s">
        <v>3</v>
      </c>
      <c r="EE293">
        <v>64850927</v>
      </c>
      <c r="EF293">
        <v>4</v>
      </c>
      <c r="EG293" t="s">
        <v>347</v>
      </c>
      <c r="EH293">
        <v>83</v>
      </c>
      <c r="EI293" t="s">
        <v>347</v>
      </c>
      <c r="EJ293">
        <v>4</v>
      </c>
      <c r="EK293">
        <v>200001</v>
      </c>
      <c r="EL293" t="s">
        <v>352</v>
      </c>
      <c r="EM293" t="s">
        <v>353</v>
      </c>
      <c r="EO293" t="s">
        <v>3</v>
      </c>
      <c r="EQ293">
        <v>0</v>
      </c>
      <c r="ER293">
        <v>0</v>
      </c>
      <c r="ES293">
        <v>0</v>
      </c>
      <c r="ET293">
        <v>0</v>
      </c>
      <c r="EU293">
        <v>0</v>
      </c>
      <c r="EV293">
        <v>0</v>
      </c>
      <c r="EW293">
        <v>2.4300000000000002</v>
      </c>
      <c r="EX293">
        <v>0</v>
      </c>
      <c r="EY293">
        <v>0</v>
      </c>
      <c r="FQ293">
        <v>0</v>
      </c>
      <c r="FR293">
        <f t="shared" si="200"/>
        <v>0</v>
      </c>
      <c r="FS293">
        <v>0</v>
      </c>
      <c r="FX293">
        <v>74</v>
      </c>
      <c r="FY293">
        <v>36</v>
      </c>
      <c r="GA293" t="s">
        <v>3</v>
      </c>
      <c r="GD293">
        <v>1</v>
      </c>
      <c r="GF293">
        <v>-218238977</v>
      </c>
      <c r="GG293">
        <v>2</v>
      </c>
      <c r="GH293">
        <v>1</v>
      </c>
      <c r="GI293">
        <v>-2</v>
      </c>
      <c r="GJ293">
        <v>0</v>
      </c>
      <c r="GK293">
        <v>0</v>
      </c>
      <c r="GL293">
        <f t="shared" si="201"/>
        <v>0</v>
      </c>
      <c r="GM293">
        <f t="shared" si="202"/>
        <v>6696.59</v>
      </c>
      <c r="GN293">
        <f t="shared" si="203"/>
        <v>0</v>
      </c>
      <c r="GO293">
        <f t="shared" si="204"/>
        <v>0</v>
      </c>
      <c r="GP293">
        <f t="shared" si="205"/>
        <v>6696.59</v>
      </c>
      <c r="GR293">
        <v>0</v>
      </c>
      <c r="GS293">
        <v>0</v>
      </c>
      <c r="GT293">
        <v>0</v>
      </c>
      <c r="GU293" t="s">
        <v>3</v>
      </c>
      <c r="GV293">
        <f t="shared" si="206"/>
        <v>0</v>
      </c>
      <c r="GW293">
        <v>1</v>
      </c>
      <c r="GX293">
        <f t="shared" si="207"/>
        <v>0</v>
      </c>
      <c r="HA293">
        <v>0</v>
      </c>
      <c r="HB293">
        <v>0</v>
      </c>
      <c r="HC293">
        <f t="shared" si="208"/>
        <v>0</v>
      </c>
      <c r="HE293" t="s">
        <v>3</v>
      </c>
      <c r="HF293" t="s">
        <v>3</v>
      </c>
      <c r="HM293" t="s">
        <v>3</v>
      </c>
      <c r="HN293" t="s">
        <v>354</v>
      </c>
      <c r="HO293" t="s">
        <v>355</v>
      </c>
      <c r="HP293" t="s">
        <v>347</v>
      </c>
      <c r="HQ293" t="s">
        <v>347</v>
      </c>
      <c r="IK293">
        <v>0</v>
      </c>
    </row>
    <row r="294" spans="1:245" x14ac:dyDescent="0.2">
      <c r="A294">
        <v>17</v>
      </c>
      <c r="B294">
        <v>1</v>
      </c>
      <c r="C294">
        <f>ROW(SmtRes!A300)</f>
        <v>300</v>
      </c>
      <c r="D294">
        <f>ROW(EtalonRes!A309)</f>
        <v>309</v>
      </c>
      <c r="E294" t="s">
        <v>370</v>
      </c>
      <c r="F294" t="s">
        <v>371</v>
      </c>
      <c r="G294" t="s">
        <v>372</v>
      </c>
      <c r="H294" t="s">
        <v>220</v>
      </c>
      <c r="I294">
        <v>3</v>
      </c>
      <c r="J294">
        <v>0</v>
      </c>
      <c r="K294">
        <v>3</v>
      </c>
      <c r="O294">
        <f t="shared" si="184"/>
        <v>15122.81</v>
      </c>
      <c r="P294">
        <f>SUMIF(SmtRes!AQ298:'SmtRes'!AQ300,"=1",SmtRes!DF298:'SmtRes'!DF300)</f>
        <v>0</v>
      </c>
      <c r="Q294">
        <f>SUMIF(SmtRes!AQ298:'SmtRes'!AQ300,"=1",SmtRes!DG298:'SmtRes'!DG300)</f>
        <v>0</v>
      </c>
      <c r="R294">
        <f>SUMIF(SmtRes!AQ298:'SmtRes'!AQ300,"=1",SmtRes!DH298:'SmtRes'!DH300)</f>
        <v>0</v>
      </c>
      <c r="S294">
        <f>SUMIF(SmtRes!AQ298:'SmtRes'!AQ300,"=1",SmtRes!DI298:'SmtRes'!DI300)</f>
        <v>15122.810000000001</v>
      </c>
      <c r="T294">
        <f t="shared" si="185"/>
        <v>0</v>
      </c>
      <c r="U294">
        <f>SUMIF(SmtRes!AQ298:'SmtRes'!AQ300,"=1",SmtRes!CV298:'SmtRes'!CV300)</f>
        <v>24.3</v>
      </c>
      <c r="V294">
        <f>SUMIF(SmtRes!AQ298:'SmtRes'!AQ300,"=1",SmtRes!CW298:'SmtRes'!CW300)</f>
        <v>0</v>
      </c>
      <c r="W294">
        <f t="shared" si="186"/>
        <v>0</v>
      </c>
      <c r="X294">
        <f t="shared" si="187"/>
        <v>11190.88</v>
      </c>
      <c r="Y294">
        <f t="shared" si="188"/>
        <v>5444.21</v>
      </c>
      <c r="AA294">
        <v>65170852</v>
      </c>
      <c r="AB294">
        <f t="shared" si="189"/>
        <v>5040.9377999999997</v>
      </c>
      <c r="AC294">
        <f t="shared" si="190"/>
        <v>0</v>
      </c>
      <c r="AD294">
        <f t="shared" si="191"/>
        <v>0</v>
      </c>
      <c r="AE294">
        <f t="shared" si="192"/>
        <v>0</v>
      </c>
      <c r="AF294">
        <f>ROUND((SUM(SmtRes!BT298:'SmtRes'!BT300)),6)</f>
        <v>5040.9377999999997</v>
      </c>
      <c r="AG294">
        <f t="shared" si="193"/>
        <v>0</v>
      </c>
      <c r="AH294">
        <f>(SUM(SmtRes!BU298:'SmtRes'!BU300))</f>
        <v>8.1000000000000014</v>
      </c>
      <c r="AI294">
        <f>(0)</f>
        <v>0</v>
      </c>
      <c r="AJ294">
        <f t="shared" si="194"/>
        <v>0</v>
      </c>
      <c r="AK294">
        <v>5040.9378000000006</v>
      </c>
      <c r="AL294">
        <v>0</v>
      </c>
      <c r="AM294">
        <v>0</v>
      </c>
      <c r="AN294">
        <v>0</v>
      </c>
      <c r="AO294">
        <v>5040.9378000000006</v>
      </c>
      <c r="AP294">
        <v>0</v>
      </c>
      <c r="AQ294">
        <v>8.1000000000000014</v>
      </c>
      <c r="AR294">
        <v>0</v>
      </c>
      <c r="AS294">
        <v>0</v>
      </c>
      <c r="AT294">
        <v>74</v>
      </c>
      <c r="AU294">
        <v>36</v>
      </c>
      <c r="AV294">
        <v>1</v>
      </c>
      <c r="AW294">
        <v>1</v>
      </c>
      <c r="AZ294">
        <v>1</v>
      </c>
      <c r="BA294">
        <v>1</v>
      </c>
      <c r="BB294">
        <v>1</v>
      </c>
      <c r="BC294">
        <v>1</v>
      </c>
      <c r="BD294" t="s">
        <v>3</v>
      </c>
      <c r="BE294" t="s">
        <v>3</v>
      </c>
      <c r="BF294" t="s">
        <v>3</v>
      </c>
      <c r="BG294" t="s">
        <v>3</v>
      </c>
      <c r="BH294">
        <v>0</v>
      </c>
      <c r="BI294">
        <v>4</v>
      </c>
      <c r="BJ294" t="s">
        <v>373</v>
      </c>
      <c r="BM294">
        <v>200001</v>
      </c>
      <c r="BN294">
        <v>0</v>
      </c>
      <c r="BO294" t="s">
        <v>3</v>
      </c>
      <c r="BP294">
        <v>0</v>
      </c>
      <c r="BQ294">
        <v>4</v>
      </c>
      <c r="BR294">
        <v>0</v>
      </c>
      <c r="BS294">
        <v>1</v>
      </c>
      <c r="BT294">
        <v>1</v>
      </c>
      <c r="BU294">
        <v>1</v>
      </c>
      <c r="BV294">
        <v>1</v>
      </c>
      <c r="BW294">
        <v>1</v>
      </c>
      <c r="BX294">
        <v>1</v>
      </c>
      <c r="BY294" t="s">
        <v>3</v>
      </c>
      <c r="BZ294">
        <v>74</v>
      </c>
      <c r="CA294">
        <v>36</v>
      </c>
      <c r="CB294" t="s">
        <v>3</v>
      </c>
      <c r="CE294">
        <v>0</v>
      </c>
      <c r="CF294">
        <v>0</v>
      </c>
      <c r="CG294">
        <v>0</v>
      </c>
      <c r="CM294">
        <v>0</v>
      </c>
      <c r="CN294" t="s">
        <v>3</v>
      </c>
      <c r="CO294">
        <v>0</v>
      </c>
      <c r="CP294">
        <f t="shared" si="195"/>
        <v>15122.810000000001</v>
      </c>
      <c r="CQ294">
        <f>SUMIF(SmtRes!AQ298:'SmtRes'!AQ300,"=1",SmtRes!AA298:'SmtRes'!AA300)</f>
        <v>0</v>
      </c>
      <c r="CR294">
        <f>SUMIF(SmtRes!AQ298:'SmtRes'!AQ300,"=1",SmtRes!AB298:'SmtRes'!AB300)</f>
        <v>0</v>
      </c>
      <c r="CS294">
        <f>SUMIF(SmtRes!AQ298:'SmtRes'!AQ300,"=1",SmtRes!AC298:'SmtRes'!AC300)</f>
        <v>0</v>
      </c>
      <c r="CT294">
        <f>SUMIF(SmtRes!AQ298:'SmtRes'!AQ300,"=1",SmtRes!AD298:'SmtRes'!AD300)</f>
        <v>1676.65</v>
      </c>
      <c r="CU294">
        <f t="shared" si="196"/>
        <v>0</v>
      </c>
      <c r="CV294">
        <f>SUMIF(SmtRes!AQ298:'SmtRes'!AQ300,"=1",SmtRes!BU298:'SmtRes'!BU300)</f>
        <v>8.1000000000000014</v>
      </c>
      <c r="CW294">
        <f>SUMIF(SmtRes!AQ298:'SmtRes'!AQ300,"=1",SmtRes!BV298:'SmtRes'!BV300)</f>
        <v>0</v>
      </c>
      <c r="CX294">
        <f t="shared" si="197"/>
        <v>0</v>
      </c>
      <c r="CY294">
        <f t="shared" si="198"/>
        <v>11190.879400000002</v>
      </c>
      <c r="CZ294">
        <f t="shared" si="199"/>
        <v>5444.2116000000005</v>
      </c>
      <c r="DC294" t="s">
        <v>3</v>
      </c>
      <c r="DD294" t="s">
        <v>3</v>
      </c>
      <c r="DE294" t="s">
        <v>3</v>
      </c>
      <c r="DF294" t="s">
        <v>3</v>
      </c>
      <c r="DG294" t="s">
        <v>3</v>
      </c>
      <c r="DH294" t="s">
        <v>3</v>
      </c>
      <c r="DI294" t="s">
        <v>3</v>
      </c>
      <c r="DJ294" t="s">
        <v>3</v>
      </c>
      <c r="DK294" t="s">
        <v>3</v>
      </c>
      <c r="DL294" t="s">
        <v>3</v>
      </c>
      <c r="DM294" t="s">
        <v>3</v>
      </c>
      <c r="DN294">
        <v>0</v>
      </c>
      <c r="DO294">
        <v>0</v>
      </c>
      <c r="DP294">
        <v>1</v>
      </c>
      <c r="DQ294">
        <v>1</v>
      </c>
      <c r="DU294">
        <v>1013</v>
      </c>
      <c r="DV294" t="s">
        <v>220</v>
      </c>
      <c r="DW294" t="s">
        <v>220</v>
      </c>
      <c r="DX294">
        <v>1</v>
      </c>
      <c r="DZ294" t="s">
        <v>3</v>
      </c>
      <c r="EA294" t="s">
        <v>3</v>
      </c>
      <c r="EB294" t="s">
        <v>3</v>
      </c>
      <c r="EC294" t="s">
        <v>3</v>
      </c>
      <c r="EE294">
        <v>64850927</v>
      </c>
      <c r="EF294">
        <v>4</v>
      </c>
      <c r="EG294" t="s">
        <v>347</v>
      </c>
      <c r="EH294">
        <v>83</v>
      </c>
      <c r="EI294" t="s">
        <v>347</v>
      </c>
      <c r="EJ294">
        <v>4</v>
      </c>
      <c r="EK294">
        <v>200001</v>
      </c>
      <c r="EL294" t="s">
        <v>352</v>
      </c>
      <c r="EM294" t="s">
        <v>353</v>
      </c>
      <c r="EO294" t="s">
        <v>3</v>
      </c>
      <c r="EQ294">
        <v>0</v>
      </c>
      <c r="ER294">
        <v>0</v>
      </c>
      <c r="ES294">
        <v>0</v>
      </c>
      <c r="ET294">
        <v>0</v>
      </c>
      <c r="EU294">
        <v>0</v>
      </c>
      <c r="EV294">
        <v>0</v>
      </c>
      <c r="EW294">
        <v>8.1</v>
      </c>
      <c r="EX294">
        <v>0</v>
      </c>
      <c r="EY294">
        <v>0</v>
      </c>
      <c r="FQ294">
        <v>0</v>
      </c>
      <c r="FR294">
        <f t="shared" si="200"/>
        <v>0</v>
      </c>
      <c r="FS294">
        <v>0</v>
      </c>
      <c r="FX294">
        <v>74</v>
      </c>
      <c r="FY294">
        <v>36</v>
      </c>
      <c r="GA294" t="s">
        <v>3</v>
      </c>
      <c r="GD294">
        <v>1</v>
      </c>
      <c r="GF294">
        <v>-522102970</v>
      </c>
      <c r="GG294">
        <v>2</v>
      </c>
      <c r="GH294">
        <v>1</v>
      </c>
      <c r="GI294">
        <v>-2</v>
      </c>
      <c r="GJ294">
        <v>0</v>
      </c>
      <c r="GK294">
        <v>0</v>
      </c>
      <c r="GL294">
        <f t="shared" si="201"/>
        <v>0</v>
      </c>
      <c r="GM294">
        <f t="shared" si="202"/>
        <v>31757.9</v>
      </c>
      <c r="GN294">
        <f t="shared" si="203"/>
        <v>0</v>
      </c>
      <c r="GO294">
        <f t="shared" si="204"/>
        <v>0</v>
      </c>
      <c r="GP294">
        <f t="shared" si="205"/>
        <v>31757.9</v>
      </c>
      <c r="GR294">
        <v>0</v>
      </c>
      <c r="GS294">
        <v>0</v>
      </c>
      <c r="GT294">
        <v>0</v>
      </c>
      <c r="GU294" t="s">
        <v>3</v>
      </c>
      <c r="GV294">
        <f t="shared" si="206"/>
        <v>0</v>
      </c>
      <c r="GW294">
        <v>1</v>
      </c>
      <c r="GX294">
        <f t="shared" si="207"/>
        <v>0</v>
      </c>
      <c r="HA294">
        <v>0</v>
      </c>
      <c r="HB294">
        <v>0</v>
      </c>
      <c r="HC294">
        <f t="shared" si="208"/>
        <v>0</v>
      </c>
      <c r="HE294" t="s">
        <v>3</v>
      </c>
      <c r="HF294" t="s">
        <v>3</v>
      </c>
      <c r="HM294" t="s">
        <v>3</v>
      </c>
      <c r="HN294" t="s">
        <v>354</v>
      </c>
      <c r="HO294" t="s">
        <v>355</v>
      </c>
      <c r="HP294" t="s">
        <v>347</v>
      </c>
      <c r="HQ294" t="s">
        <v>347</v>
      </c>
      <c r="IK294">
        <v>0</v>
      </c>
    </row>
    <row r="295" spans="1:245" x14ac:dyDescent="0.2">
      <c r="A295">
        <v>17</v>
      </c>
      <c r="B295">
        <v>1</v>
      </c>
      <c r="C295">
        <f>ROW(SmtRes!A303)</f>
        <v>303</v>
      </c>
      <c r="D295">
        <f>ROW(EtalonRes!A312)</f>
        <v>312</v>
      </c>
      <c r="E295" t="s">
        <v>374</v>
      </c>
      <c r="F295" t="s">
        <v>375</v>
      </c>
      <c r="G295" t="s">
        <v>376</v>
      </c>
      <c r="H295" t="s">
        <v>220</v>
      </c>
      <c r="I295">
        <v>4</v>
      </c>
      <c r="J295">
        <v>0</v>
      </c>
      <c r="K295">
        <v>4</v>
      </c>
      <c r="O295">
        <f t="shared" si="184"/>
        <v>13442.51</v>
      </c>
      <c r="P295">
        <f>SUMIF(SmtRes!AQ301:'SmtRes'!AQ303,"=1",SmtRes!DF301:'SmtRes'!DF303)</f>
        <v>0</v>
      </c>
      <c r="Q295">
        <f>SUMIF(SmtRes!AQ301:'SmtRes'!AQ303,"=1",SmtRes!DG301:'SmtRes'!DG303)</f>
        <v>0</v>
      </c>
      <c r="R295">
        <f>SUMIF(SmtRes!AQ301:'SmtRes'!AQ303,"=1",SmtRes!DH301:'SmtRes'!DH303)</f>
        <v>0</v>
      </c>
      <c r="S295">
        <f>SUMIF(SmtRes!AQ301:'SmtRes'!AQ303,"=1",SmtRes!DI301:'SmtRes'!DI303)</f>
        <v>13442.509999999998</v>
      </c>
      <c r="T295">
        <f t="shared" si="185"/>
        <v>0</v>
      </c>
      <c r="U295">
        <f>SUMIF(SmtRes!AQ301:'SmtRes'!AQ303,"=1",SmtRes!CV301:'SmtRes'!CV303)</f>
        <v>21.6</v>
      </c>
      <c r="V295">
        <f>SUMIF(SmtRes!AQ301:'SmtRes'!AQ303,"=1",SmtRes!CW301:'SmtRes'!CW303)</f>
        <v>0</v>
      </c>
      <c r="W295">
        <f t="shared" si="186"/>
        <v>0</v>
      </c>
      <c r="X295">
        <f t="shared" si="187"/>
        <v>9947.4599999999991</v>
      </c>
      <c r="Y295">
        <f t="shared" si="188"/>
        <v>4839.3</v>
      </c>
      <c r="AA295">
        <v>65170852</v>
      </c>
      <c r="AB295">
        <f t="shared" si="189"/>
        <v>3360.6251999999999</v>
      </c>
      <c r="AC295">
        <f t="shared" si="190"/>
        <v>0</v>
      </c>
      <c r="AD295">
        <f t="shared" si="191"/>
        <v>0</v>
      </c>
      <c r="AE295">
        <f t="shared" si="192"/>
        <v>0</v>
      </c>
      <c r="AF295">
        <f>ROUND((SUM(SmtRes!BT301:'SmtRes'!BT303)),6)</f>
        <v>3360.6251999999999</v>
      </c>
      <c r="AG295">
        <f t="shared" si="193"/>
        <v>0</v>
      </c>
      <c r="AH295">
        <f>(SUM(SmtRes!BU301:'SmtRes'!BU303))</f>
        <v>5.4</v>
      </c>
      <c r="AI295">
        <f>(0)</f>
        <v>0</v>
      </c>
      <c r="AJ295">
        <f t="shared" si="194"/>
        <v>0</v>
      </c>
      <c r="AK295">
        <v>3360.6251999999999</v>
      </c>
      <c r="AL295">
        <v>0</v>
      </c>
      <c r="AM295">
        <v>0</v>
      </c>
      <c r="AN295">
        <v>0</v>
      </c>
      <c r="AO295">
        <v>3360.6251999999999</v>
      </c>
      <c r="AP295">
        <v>0</v>
      </c>
      <c r="AQ295">
        <v>5.4</v>
      </c>
      <c r="AR295">
        <v>0</v>
      </c>
      <c r="AS295">
        <v>0</v>
      </c>
      <c r="AT295">
        <v>74</v>
      </c>
      <c r="AU295">
        <v>36</v>
      </c>
      <c r="AV295">
        <v>1</v>
      </c>
      <c r="AW295">
        <v>1</v>
      </c>
      <c r="AZ295">
        <v>1</v>
      </c>
      <c r="BA295">
        <v>1</v>
      </c>
      <c r="BB295">
        <v>1</v>
      </c>
      <c r="BC295">
        <v>1</v>
      </c>
      <c r="BD295" t="s">
        <v>3</v>
      </c>
      <c r="BE295" t="s">
        <v>3</v>
      </c>
      <c r="BF295" t="s">
        <v>3</v>
      </c>
      <c r="BG295" t="s">
        <v>3</v>
      </c>
      <c r="BH295">
        <v>0</v>
      </c>
      <c r="BI295">
        <v>4</v>
      </c>
      <c r="BJ295" t="s">
        <v>377</v>
      </c>
      <c r="BM295">
        <v>200001</v>
      </c>
      <c r="BN295">
        <v>0</v>
      </c>
      <c r="BO295" t="s">
        <v>3</v>
      </c>
      <c r="BP295">
        <v>0</v>
      </c>
      <c r="BQ295">
        <v>4</v>
      </c>
      <c r="BR295">
        <v>0</v>
      </c>
      <c r="BS295">
        <v>1</v>
      </c>
      <c r="BT295">
        <v>1</v>
      </c>
      <c r="BU295">
        <v>1</v>
      </c>
      <c r="BV295">
        <v>1</v>
      </c>
      <c r="BW295">
        <v>1</v>
      </c>
      <c r="BX295">
        <v>1</v>
      </c>
      <c r="BY295" t="s">
        <v>3</v>
      </c>
      <c r="BZ295">
        <v>74</v>
      </c>
      <c r="CA295">
        <v>36</v>
      </c>
      <c r="CB295" t="s">
        <v>3</v>
      </c>
      <c r="CE295">
        <v>0</v>
      </c>
      <c r="CF295">
        <v>0</v>
      </c>
      <c r="CG295">
        <v>0</v>
      </c>
      <c r="CM295">
        <v>0</v>
      </c>
      <c r="CN295" t="s">
        <v>3</v>
      </c>
      <c r="CO295">
        <v>0</v>
      </c>
      <c r="CP295">
        <f t="shared" si="195"/>
        <v>13442.509999999998</v>
      </c>
      <c r="CQ295">
        <f>SUMIF(SmtRes!AQ301:'SmtRes'!AQ303,"=1",SmtRes!AA301:'SmtRes'!AA303)</f>
        <v>0</v>
      </c>
      <c r="CR295">
        <f>SUMIF(SmtRes!AQ301:'SmtRes'!AQ303,"=1",SmtRes!AB301:'SmtRes'!AB303)</f>
        <v>0</v>
      </c>
      <c r="CS295">
        <f>SUMIF(SmtRes!AQ301:'SmtRes'!AQ303,"=1",SmtRes!AC301:'SmtRes'!AC303)</f>
        <v>0</v>
      </c>
      <c r="CT295">
        <f>SUMIF(SmtRes!AQ301:'SmtRes'!AQ303,"=1",SmtRes!AD301:'SmtRes'!AD303)</f>
        <v>1676.65</v>
      </c>
      <c r="CU295">
        <f t="shared" si="196"/>
        <v>0</v>
      </c>
      <c r="CV295">
        <f>SUMIF(SmtRes!AQ301:'SmtRes'!AQ303,"=1",SmtRes!BU301:'SmtRes'!BU303)</f>
        <v>5.4</v>
      </c>
      <c r="CW295">
        <f>SUMIF(SmtRes!AQ301:'SmtRes'!AQ303,"=1",SmtRes!BV301:'SmtRes'!BV303)</f>
        <v>0</v>
      </c>
      <c r="CX295">
        <f t="shared" si="197"/>
        <v>0</v>
      </c>
      <c r="CY295">
        <f t="shared" si="198"/>
        <v>9947.4573999999993</v>
      </c>
      <c r="CZ295">
        <f t="shared" si="199"/>
        <v>4839.3035999999993</v>
      </c>
      <c r="DC295" t="s">
        <v>3</v>
      </c>
      <c r="DD295" t="s">
        <v>3</v>
      </c>
      <c r="DE295" t="s">
        <v>3</v>
      </c>
      <c r="DF295" t="s">
        <v>3</v>
      </c>
      <c r="DG295" t="s">
        <v>3</v>
      </c>
      <c r="DH295" t="s">
        <v>3</v>
      </c>
      <c r="DI295" t="s">
        <v>3</v>
      </c>
      <c r="DJ295" t="s">
        <v>3</v>
      </c>
      <c r="DK295" t="s">
        <v>3</v>
      </c>
      <c r="DL295" t="s">
        <v>3</v>
      </c>
      <c r="DM295" t="s">
        <v>3</v>
      </c>
      <c r="DN295">
        <v>0</v>
      </c>
      <c r="DO295">
        <v>0</v>
      </c>
      <c r="DP295">
        <v>1</v>
      </c>
      <c r="DQ295">
        <v>1</v>
      </c>
      <c r="DU295">
        <v>1013</v>
      </c>
      <c r="DV295" t="s">
        <v>220</v>
      </c>
      <c r="DW295" t="s">
        <v>220</v>
      </c>
      <c r="DX295">
        <v>1</v>
      </c>
      <c r="DZ295" t="s">
        <v>3</v>
      </c>
      <c r="EA295" t="s">
        <v>3</v>
      </c>
      <c r="EB295" t="s">
        <v>3</v>
      </c>
      <c r="EC295" t="s">
        <v>3</v>
      </c>
      <c r="EE295">
        <v>64850927</v>
      </c>
      <c r="EF295">
        <v>4</v>
      </c>
      <c r="EG295" t="s">
        <v>347</v>
      </c>
      <c r="EH295">
        <v>83</v>
      </c>
      <c r="EI295" t="s">
        <v>347</v>
      </c>
      <c r="EJ295">
        <v>4</v>
      </c>
      <c r="EK295">
        <v>200001</v>
      </c>
      <c r="EL295" t="s">
        <v>352</v>
      </c>
      <c r="EM295" t="s">
        <v>353</v>
      </c>
      <c r="EO295" t="s">
        <v>3</v>
      </c>
      <c r="EQ295">
        <v>0</v>
      </c>
      <c r="ER295">
        <v>0</v>
      </c>
      <c r="ES295">
        <v>0</v>
      </c>
      <c r="ET295">
        <v>0</v>
      </c>
      <c r="EU295">
        <v>0</v>
      </c>
      <c r="EV295">
        <v>0</v>
      </c>
      <c r="EW295">
        <v>5.4</v>
      </c>
      <c r="EX295">
        <v>0</v>
      </c>
      <c r="EY295">
        <v>0</v>
      </c>
      <c r="FQ295">
        <v>0</v>
      </c>
      <c r="FR295">
        <f t="shared" si="200"/>
        <v>0</v>
      </c>
      <c r="FS295">
        <v>0</v>
      </c>
      <c r="FX295">
        <v>74</v>
      </c>
      <c r="FY295">
        <v>36</v>
      </c>
      <c r="GA295" t="s">
        <v>3</v>
      </c>
      <c r="GD295">
        <v>1</v>
      </c>
      <c r="GF295">
        <v>-1500033435</v>
      </c>
      <c r="GG295">
        <v>2</v>
      </c>
      <c r="GH295">
        <v>1</v>
      </c>
      <c r="GI295">
        <v>-2</v>
      </c>
      <c r="GJ295">
        <v>0</v>
      </c>
      <c r="GK295">
        <v>0</v>
      </c>
      <c r="GL295">
        <f t="shared" si="201"/>
        <v>0</v>
      </c>
      <c r="GM295">
        <f t="shared" si="202"/>
        <v>28229.27</v>
      </c>
      <c r="GN295">
        <f t="shared" si="203"/>
        <v>0</v>
      </c>
      <c r="GO295">
        <f t="shared" si="204"/>
        <v>0</v>
      </c>
      <c r="GP295">
        <f t="shared" si="205"/>
        <v>28229.27</v>
      </c>
      <c r="GR295">
        <v>0</v>
      </c>
      <c r="GS295">
        <v>0</v>
      </c>
      <c r="GT295">
        <v>0</v>
      </c>
      <c r="GU295" t="s">
        <v>3</v>
      </c>
      <c r="GV295">
        <f t="shared" si="206"/>
        <v>0</v>
      </c>
      <c r="GW295">
        <v>1</v>
      </c>
      <c r="GX295">
        <f t="shared" si="207"/>
        <v>0</v>
      </c>
      <c r="HA295">
        <v>0</v>
      </c>
      <c r="HB295">
        <v>0</v>
      </c>
      <c r="HC295">
        <f t="shared" si="208"/>
        <v>0</v>
      </c>
      <c r="HE295" t="s">
        <v>3</v>
      </c>
      <c r="HF295" t="s">
        <v>3</v>
      </c>
      <c r="HM295" t="s">
        <v>3</v>
      </c>
      <c r="HN295" t="s">
        <v>354</v>
      </c>
      <c r="HO295" t="s">
        <v>355</v>
      </c>
      <c r="HP295" t="s">
        <v>347</v>
      </c>
      <c r="HQ295" t="s">
        <v>347</v>
      </c>
      <c r="IK295">
        <v>0</v>
      </c>
    </row>
    <row r="296" spans="1:245" x14ac:dyDescent="0.2">
      <c r="A296">
        <v>17</v>
      </c>
      <c r="B296">
        <v>1</v>
      </c>
      <c r="C296">
        <f>ROW(SmtRes!A305)</f>
        <v>305</v>
      </c>
      <c r="D296">
        <f>ROW(EtalonRes!A314)</f>
        <v>314</v>
      </c>
      <c r="E296" t="s">
        <v>378</v>
      </c>
      <c r="F296" t="s">
        <v>379</v>
      </c>
      <c r="G296" t="s">
        <v>380</v>
      </c>
      <c r="H296" t="s">
        <v>368</v>
      </c>
      <c r="I296">
        <v>3</v>
      </c>
      <c r="J296">
        <v>0</v>
      </c>
      <c r="K296">
        <v>3</v>
      </c>
      <c r="O296">
        <f t="shared" si="184"/>
        <v>5076.53</v>
      </c>
      <c r="P296">
        <f>SUMIF(SmtRes!AQ304:'SmtRes'!AQ305,"=1",SmtRes!DF304:'SmtRes'!DF305)</f>
        <v>0</v>
      </c>
      <c r="Q296">
        <f>SUMIF(SmtRes!AQ304:'SmtRes'!AQ305,"=1",SmtRes!DG304:'SmtRes'!DG305)</f>
        <v>0</v>
      </c>
      <c r="R296">
        <f>SUMIF(SmtRes!AQ304:'SmtRes'!AQ305,"=1",SmtRes!DH304:'SmtRes'!DH305)</f>
        <v>0</v>
      </c>
      <c r="S296">
        <f>SUMIF(SmtRes!AQ304:'SmtRes'!AQ305,"=1",SmtRes!DI304:'SmtRes'!DI305)</f>
        <v>5076.5300000000007</v>
      </c>
      <c r="T296">
        <f t="shared" si="185"/>
        <v>0</v>
      </c>
      <c r="U296">
        <f>SUMIF(SmtRes!AQ304:'SmtRes'!AQ305,"=1",SmtRes!CV304:'SmtRes'!CV305)</f>
        <v>8.1000000000000014</v>
      </c>
      <c r="V296">
        <f>SUMIF(SmtRes!AQ304:'SmtRes'!AQ305,"=1",SmtRes!CW304:'SmtRes'!CW305)</f>
        <v>0</v>
      </c>
      <c r="W296">
        <f t="shared" si="186"/>
        <v>0</v>
      </c>
      <c r="X296">
        <f t="shared" si="187"/>
        <v>3756.63</v>
      </c>
      <c r="Y296">
        <f t="shared" si="188"/>
        <v>1827.55</v>
      </c>
      <c r="AA296">
        <v>65170852</v>
      </c>
      <c r="AB296">
        <f t="shared" si="189"/>
        <v>1692.1764000000001</v>
      </c>
      <c r="AC296">
        <f t="shared" si="190"/>
        <v>0</v>
      </c>
      <c r="AD296">
        <f t="shared" si="191"/>
        <v>0</v>
      </c>
      <c r="AE296">
        <f t="shared" si="192"/>
        <v>0</v>
      </c>
      <c r="AF296">
        <f>ROUND((SUM(SmtRes!BT304:'SmtRes'!BT305)),6)</f>
        <v>1692.1764000000001</v>
      </c>
      <c r="AG296">
        <f t="shared" si="193"/>
        <v>0</v>
      </c>
      <c r="AH296">
        <f>(SUM(SmtRes!BU304:'SmtRes'!BU305))</f>
        <v>2.7</v>
      </c>
      <c r="AI296">
        <f>(0)</f>
        <v>0</v>
      </c>
      <c r="AJ296">
        <f t="shared" si="194"/>
        <v>0</v>
      </c>
      <c r="AK296">
        <v>1692.1764000000001</v>
      </c>
      <c r="AL296">
        <v>0</v>
      </c>
      <c r="AM296">
        <v>0</v>
      </c>
      <c r="AN296">
        <v>0</v>
      </c>
      <c r="AO296">
        <v>1692.1764000000001</v>
      </c>
      <c r="AP296">
        <v>0</v>
      </c>
      <c r="AQ296">
        <v>2.7</v>
      </c>
      <c r="AR296">
        <v>0</v>
      </c>
      <c r="AS296">
        <v>0</v>
      </c>
      <c r="AT296">
        <v>74</v>
      </c>
      <c r="AU296">
        <v>36</v>
      </c>
      <c r="AV296">
        <v>1</v>
      </c>
      <c r="AW296">
        <v>1</v>
      </c>
      <c r="AZ296">
        <v>1</v>
      </c>
      <c r="BA296">
        <v>1</v>
      </c>
      <c r="BB296">
        <v>1</v>
      </c>
      <c r="BC296">
        <v>1</v>
      </c>
      <c r="BD296" t="s">
        <v>3</v>
      </c>
      <c r="BE296" t="s">
        <v>3</v>
      </c>
      <c r="BF296" t="s">
        <v>3</v>
      </c>
      <c r="BG296" t="s">
        <v>3</v>
      </c>
      <c r="BH296">
        <v>0</v>
      </c>
      <c r="BI296">
        <v>4</v>
      </c>
      <c r="BJ296" t="s">
        <v>381</v>
      </c>
      <c r="BM296">
        <v>200001</v>
      </c>
      <c r="BN296">
        <v>0</v>
      </c>
      <c r="BO296" t="s">
        <v>3</v>
      </c>
      <c r="BP296">
        <v>0</v>
      </c>
      <c r="BQ296">
        <v>4</v>
      </c>
      <c r="BR296">
        <v>0</v>
      </c>
      <c r="BS296">
        <v>1</v>
      </c>
      <c r="BT296">
        <v>1</v>
      </c>
      <c r="BU296">
        <v>1</v>
      </c>
      <c r="BV296">
        <v>1</v>
      </c>
      <c r="BW296">
        <v>1</v>
      </c>
      <c r="BX296">
        <v>1</v>
      </c>
      <c r="BY296" t="s">
        <v>3</v>
      </c>
      <c r="BZ296">
        <v>74</v>
      </c>
      <c r="CA296">
        <v>36</v>
      </c>
      <c r="CB296" t="s">
        <v>3</v>
      </c>
      <c r="CE296">
        <v>0</v>
      </c>
      <c r="CF296">
        <v>0</v>
      </c>
      <c r="CG296">
        <v>0</v>
      </c>
      <c r="CM296">
        <v>0</v>
      </c>
      <c r="CN296" t="s">
        <v>3</v>
      </c>
      <c r="CO296">
        <v>0</v>
      </c>
      <c r="CP296">
        <f t="shared" si="195"/>
        <v>5076.5300000000007</v>
      </c>
      <c r="CQ296">
        <f>SUMIF(SmtRes!AQ304:'SmtRes'!AQ305,"=1",SmtRes!AA304:'SmtRes'!AA305)</f>
        <v>0</v>
      </c>
      <c r="CR296">
        <f>SUMIF(SmtRes!AQ304:'SmtRes'!AQ305,"=1",SmtRes!AB304:'SmtRes'!AB305)</f>
        <v>0</v>
      </c>
      <c r="CS296">
        <f>SUMIF(SmtRes!AQ304:'SmtRes'!AQ305,"=1",SmtRes!AC304:'SmtRes'!AC305)</f>
        <v>0</v>
      </c>
      <c r="CT296">
        <f>SUMIF(SmtRes!AQ304:'SmtRes'!AQ305,"=1",SmtRes!AD304:'SmtRes'!AD305)</f>
        <v>1208.07</v>
      </c>
      <c r="CU296">
        <f t="shared" si="196"/>
        <v>0</v>
      </c>
      <c r="CV296">
        <f>SUMIF(SmtRes!AQ304:'SmtRes'!AQ305,"=1",SmtRes!BU304:'SmtRes'!BU305)</f>
        <v>2.7</v>
      </c>
      <c r="CW296">
        <f>SUMIF(SmtRes!AQ304:'SmtRes'!AQ305,"=1",SmtRes!BV304:'SmtRes'!BV305)</f>
        <v>0</v>
      </c>
      <c r="CX296">
        <f t="shared" si="197"/>
        <v>0</v>
      </c>
      <c r="CY296">
        <f t="shared" si="198"/>
        <v>3756.6322000000005</v>
      </c>
      <c r="CZ296">
        <f t="shared" si="199"/>
        <v>1827.5508000000002</v>
      </c>
      <c r="DC296" t="s">
        <v>3</v>
      </c>
      <c r="DD296" t="s">
        <v>3</v>
      </c>
      <c r="DE296" t="s">
        <v>3</v>
      </c>
      <c r="DF296" t="s">
        <v>3</v>
      </c>
      <c r="DG296" t="s">
        <v>3</v>
      </c>
      <c r="DH296" t="s">
        <v>3</v>
      </c>
      <c r="DI296" t="s">
        <v>3</v>
      </c>
      <c r="DJ296" t="s">
        <v>3</v>
      </c>
      <c r="DK296" t="s">
        <v>3</v>
      </c>
      <c r="DL296" t="s">
        <v>3</v>
      </c>
      <c r="DM296" t="s">
        <v>3</v>
      </c>
      <c r="DN296">
        <v>0</v>
      </c>
      <c r="DO296">
        <v>0</v>
      </c>
      <c r="DP296">
        <v>1</v>
      </c>
      <c r="DQ296">
        <v>1</v>
      </c>
      <c r="DU296">
        <v>1013</v>
      </c>
      <c r="DV296" t="s">
        <v>368</v>
      </c>
      <c r="DW296" t="s">
        <v>368</v>
      </c>
      <c r="DX296">
        <v>1</v>
      </c>
      <c r="DZ296" t="s">
        <v>3</v>
      </c>
      <c r="EA296" t="s">
        <v>3</v>
      </c>
      <c r="EB296" t="s">
        <v>3</v>
      </c>
      <c r="EC296" t="s">
        <v>3</v>
      </c>
      <c r="EE296">
        <v>64850927</v>
      </c>
      <c r="EF296">
        <v>4</v>
      </c>
      <c r="EG296" t="s">
        <v>347</v>
      </c>
      <c r="EH296">
        <v>83</v>
      </c>
      <c r="EI296" t="s">
        <v>347</v>
      </c>
      <c r="EJ296">
        <v>4</v>
      </c>
      <c r="EK296">
        <v>200001</v>
      </c>
      <c r="EL296" t="s">
        <v>352</v>
      </c>
      <c r="EM296" t="s">
        <v>353</v>
      </c>
      <c r="EO296" t="s">
        <v>3</v>
      </c>
      <c r="EQ296">
        <v>0</v>
      </c>
      <c r="ER296">
        <v>0</v>
      </c>
      <c r="ES296">
        <v>0</v>
      </c>
      <c r="ET296">
        <v>0</v>
      </c>
      <c r="EU296">
        <v>0</v>
      </c>
      <c r="EV296">
        <v>0</v>
      </c>
      <c r="EW296">
        <v>2.7</v>
      </c>
      <c r="EX296">
        <v>0</v>
      </c>
      <c r="EY296">
        <v>0</v>
      </c>
      <c r="FQ296">
        <v>0</v>
      </c>
      <c r="FR296">
        <f t="shared" si="200"/>
        <v>0</v>
      </c>
      <c r="FS296">
        <v>0</v>
      </c>
      <c r="FX296">
        <v>74</v>
      </c>
      <c r="FY296">
        <v>36</v>
      </c>
      <c r="GA296" t="s">
        <v>3</v>
      </c>
      <c r="GD296">
        <v>1</v>
      </c>
      <c r="GF296">
        <v>913397072</v>
      </c>
      <c r="GG296">
        <v>2</v>
      </c>
      <c r="GH296">
        <v>1</v>
      </c>
      <c r="GI296">
        <v>-2</v>
      </c>
      <c r="GJ296">
        <v>0</v>
      </c>
      <c r="GK296">
        <v>0</v>
      </c>
      <c r="GL296">
        <f t="shared" si="201"/>
        <v>0</v>
      </c>
      <c r="GM296">
        <f t="shared" si="202"/>
        <v>10660.71</v>
      </c>
      <c r="GN296">
        <f t="shared" si="203"/>
        <v>0</v>
      </c>
      <c r="GO296">
        <f t="shared" si="204"/>
        <v>0</v>
      </c>
      <c r="GP296">
        <f t="shared" si="205"/>
        <v>10660.71</v>
      </c>
      <c r="GR296">
        <v>0</v>
      </c>
      <c r="GS296">
        <v>0</v>
      </c>
      <c r="GT296">
        <v>0</v>
      </c>
      <c r="GU296" t="s">
        <v>3</v>
      </c>
      <c r="GV296">
        <f t="shared" si="206"/>
        <v>0</v>
      </c>
      <c r="GW296">
        <v>1</v>
      </c>
      <c r="GX296">
        <f t="shared" si="207"/>
        <v>0</v>
      </c>
      <c r="HA296">
        <v>0</v>
      </c>
      <c r="HB296">
        <v>0</v>
      </c>
      <c r="HC296">
        <f t="shared" si="208"/>
        <v>0</v>
      </c>
      <c r="HE296" t="s">
        <v>3</v>
      </c>
      <c r="HF296" t="s">
        <v>3</v>
      </c>
      <c r="HM296" t="s">
        <v>3</v>
      </c>
      <c r="HN296" t="s">
        <v>354</v>
      </c>
      <c r="HO296" t="s">
        <v>355</v>
      </c>
      <c r="HP296" t="s">
        <v>347</v>
      </c>
      <c r="HQ296" t="s">
        <v>347</v>
      </c>
      <c r="IK296">
        <v>0</v>
      </c>
    </row>
    <row r="297" spans="1:245" x14ac:dyDescent="0.2">
      <c r="A297">
        <v>17</v>
      </c>
      <c r="B297">
        <v>1</v>
      </c>
      <c r="C297">
        <f>ROW(SmtRes!A307)</f>
        <v>307</v>
      </c>
      <c r="D297">
        <f>ROW(EtalonRes!A316)</f>
        <v>316</v>
      </c>
      <c r="E297" t="s">
        <v>382</v>
      </c>
      <c r="F297" t="s">
        <v>383</v>
      </c>
      <c r="G297" t="s">
        <v>384</v>
      </c>
      <c r="H297" t="s">
        <v>220</v>
      </c>
      <c r="I297">
        <v>1</v>
      </c>
      <c r="J297">
        <v>0</v>
      </c>
      <c r="K297">
        <v>1</v>
      </c>
      <c r="O297">
        <f t="shared" si="184"/>
        <v>1055.6199999999999</v>
      </c>
      <c r="P297">
        <f>SUMIF(SmtRes!AQ306:'SmtRes'!AQ307,"=1",SmtRes!DF306:'SmtRes'!DF307)</f>
        <v>0</v>
      </c>
      <c r="Q297">
        <f>SUMIF(SmtRes!AQ306:'SmtRes'!AQ307,"=1",SmtRes!DG306:'SmtRes'!DG307)</f>
        <v>0</v>
      </c>
      <c r="R297">
        <f>SUMIF(SmtRes!AQ306:'SmtRes'!AQ307,"=1",SmtRes!DH306:'SmtRes'!DH307)</f>
        <v>0</v>
      </c>
      <c r="S297">
        <f>SUMIF(SmtRes!AQ306:'SmtRes'!AQ307,"=1",SmtRes!DI306:'SmtRes'!DI307)</f>
        <v>1055.6199999999999</v>
      </c>
      <c r="T297">
        <f t="shared" si="185"/>
        <v>0</v>
      </c>
      <c r="U297">
        <f>SUMIF(SmtRes!AQ306:'SmtRes'!AQ307,"=1",SmtRes!CV306:'SmtRes'!CV307)</f>
        <v>1.62</v>
      </c>
      <c r="V297">
        <f>SUMIF(SmtRes!AQ306:'SmtRes'!AQ307,"=1",SmtRes!CW306:'SmtRes'!CW307)</f>
        <v>0</v>
      </c>
      <c r="W297">
        <f t="shared" si="186"/>
        <v>0</v>
      </c>
      <c r="X297">
        <f t="shared" si="187"/>
        <v>781.16</v>
      </c>
      <c r="Y297">
        <f t="shared" si="188"/>
        <v>380.02</v>
      </c>
      <c r="AA297">
        <v>65170852</v>
      </c>
      <c r="AB297">
        <f t="shared" si="189"/>
        <v>1055.6243999999999</v>
      </c>
      <c r="AC297">
        <f t="shared" si="190"/>
        <v>0</v>
      </c>
      <c r="AD297">
        <f t="shared" si="191"/>
        <v>0</v>
      </c>
      <c r="AE297">
        <f t="shared" si="192"/>
        <v>0</v>
      </c>
      <c r="AF297">
        <f>ROUND((SUM(SmtRes!BT306:'SmtRes'!BT307)),6)</f>
        <v>1055.6243999999999</v>
      </c>
      <c r="AG297">
        <f t="shared" si="193"/>
        <v>0</v>
      </c>
      <c r="AH297">
        <f>(SUM(SmtRes!BU306:'SmtRes'!BU307))</f>
        <v>1.62</v>
      </c>
      <c r="AI297">
        <f>(0)</f>
        <v>0</v>
      </c>
      <c r="AJ297">
        <f t="shared" si="194"/>
        <v>0</v>
      </c>
      <c r="AK297">
        <v>1055.6244000000002</v>
      </c>
      <c r="AL297">
        <v>0</v>
      </c>
      <c r="AM297">
        <v>0</v>
      </c>
      <c r="AN297">
        <v>0</v>
      </c>
      <c r="AO297">
        <v>1055.6244000000002</v>
      </c>
      <c r="AP297">
        <v>0</v>
      </c>
      <c r="AQ297">
        <v>1.62</v>
      </c>
      <c r="AR297">
        <v>0</v>
      </c>
      <c r="AS297">
        <v>0</v>
      </c>
      <c r="AT297">
        <v>74</v>
      </c>
      <c r="AU297">
        <v>36</v>
      </c>
      <c r="AV297">
        <v>1</v>
      </c>
      <c r="AW297">
        <v>1</v>
      </c>
      <c r="AZ297">
        <v>1</v>
      </c>
      <c r="BA297">
        <v>1</v>
      </c>
      <c r="BB297">
        <v>1</v>
      </c>
      <c r="BC297">
        <v>1</v>
      </c>
      <c r="BD297" t="s">
        <v>3</v>
      </c>
      <c r="BE297" t="s">
        <v>3</v>
      </c>
      <c r="BF297" t="s">
        <v>3</v>
      </c>
      <c r="BG297" t="s">
        <v>3</v>
      </c>
      <c r="BH297">
        <v>0</v>
      </c>
      <c r="BI297">
        <v>4</v>
      </c>
      <c r="BJ297" t="s">
        <v>385</v>
      </c>
      <c r="BM297">
        <v>200001</v>
      </c>
      <c r="BN297">
        <v>0</v>
      </c>
      <c r="BO297" t="s">
        <v>3</v>
      </c>
      <c r="BP297">
        <v>0</v>
      </c>
      <c r="BQ297">
        <v>4</v>
      </c>
      <c r="BR297">
        <v>0</v>
      </c>
      <c r="BS297">
        <v>1</v>
      </c>
      <c r="BT297">
        <v>1</v>
      </c>
      <c r="BU297">
        <v>1</v>
      </c>
      <c r="BV297">
        <v>1</v>
      </c>
      <c r="BW297">
        <v>1</v>
      </c>
      <c r="BX297">
        <v>1</v>
      </c>
      <c r="BY297" t="s">
        <v>3</v>
      </c>
      <c r="BZ297">
        <v>74</v>
      </c>
      <c r="CA297">
        <v>36</v>
      </c>
      <c r="CB297" t="s">
        <v>3</v>
      </c>
      <c r="CE297">
        <v>0</v>
      </c>
      <c r="CF297">
        <v>0</v>
      </c>
      <c r="CG297">
        <v>0</v>
      </c>
      <c r="CM297">
        <v>0</v>
      </c>
      <c r="CN297" t="s">
        <v>3</v>
      </c>
      <c r="CO297">
        <v>0</v>
      </c>
      <c r="CP297">
        <f t="shared" si="195"/>
        <v>1055.6199999999999</v>
      </c>
      <c r="CQ297">
        <f>SUMIF(SmtRes!AQ306:'SmtRes'!AQ307,"=1",SmtRes!AA306:'SmtRes'!AA307)</f>
        <v>0</v>
      </c>
      <c r="CR297">
        <f>SUMIF(SmtRes!AQ306:'SmtRes'!AQ307,"=1",SmtRes!AB306:'SmtRes'!AB307)</f>
        <v>0</v>
      </c>
      <c r="CS297">
        <f>SUMIF(SmtRes!AQ306:'SmtRes'!AQ307,"=1",SmtRes!AC306:'SmtRes'!AC307)</f>
        <v>0</v>
      </c>
      <c r="CT297">
        <f>SUMIF(SmtRes!AQ306:'SmtRes'!AQ307,"=1",SmtRes!AD306:'SmtRes'!AD307)</f>
        <v>1303.24</v>
      </c>
      <c r="CU297">
        <f t="shared" si="196"/>
        <v>0</v>
      </c>
      <c r="CV297">
        <f>SUMIF(SmtRes!AQ306:'SmtRes'!AQ307,"=1",SmtRes!BU306:'SmtRes'!BU307)</f>
        <v>1.62</v>
      </c>
      <c r="CW297">
        <f>SUMIF(SmtRes!AQ306:'SmtRes'!AQ307,"=1",SmtRes!BV306:'SmtRes'!BV307)</f>
        <v>0</v>
      </c>
      <c r="CX297">
        <f t="shared" si="197"/>
        <v>0</v>
      </c>
      <c r="CY297">
        <f t="shared" si="198"/>
        <v>781.15879999999993</v>
      </c>
      <c r="CZ297">
        <f t="shared" si="199"/>
        <v>380.02319999999992</v>
      </c>
      <c r="DC297" t="s">
        <v>3</v>
      </c>
      <c r="DD297" t="s">
        <v>3</v>
      </c>
      <c r="DE297" t="s">
        <v>3</v>
      </c>
      <c r="DF297" t="s">
        <v>3</v>
      </c>
      <c r="DG297" t="s">
        <v>3</v>
      </c>
      <c r="DH297" t="s">
        <v>3</v>
      </c>
      <c r="DI297" t="s">
        <v>3</v>
      </c>
      <c r="DJ297" t="s">
        <v>3</v>
      </c>
      <c r="DK297" t="s">
        <v>3</v>
      </c>
      <c r="DL297" t="s">
        <v>3</v>
      </c>
      <c r="DM297" t="s">
        <v>3</v>
      </c>
      <c r="DN297">
        <v>0</v>
      </c>
      <c r="DO297">
        <v>0</v>
      </c>
      <c r="DP297">
        <v>1</v>
      </c>
      <c r="DQ297">
        <v>1</v>
      </c>
      <c r="DU297">
        <v>1013</v>
      </c>
      <c r="DV297" t="s">
        <v>220</v>
      </c>
      <c r="DW297" t="s">
        <v>220</v>
      </c>
      <c r="DX297">
        <v>1</v>
      </c>
      <c r="DZ297" t="s">
        <v>3</v>
      </c>
      <c r="EA297" t="s">
        <v>3</v>
      </c>
      <c r="EB297" t="s">
        <v>3</v>
      </c>
      <c r="EC297" t="s">
        <v>3</v>
      </c>
      <c r="EE297">
        <v>64850927</v>
      </c>
      <c r="EF297">
        <v>4</v>
      </c>
      <c r="EG297" t="s">
        <v>347</v>
      </c>
      <c r="EH297">
        <v>83</v>
      </c>
      <c r="EI297" t="s">
        <v>347</v>
      </c>
      <c r="EJ297">
        <v>4</v>
      </c>
      <c r="EK297">
        <v>200001</v>
      </c>
      <c r="EL297" t="s">
        <v>352</v>
      </c>
      <c r="EM297" t="s">
        <v>353</v>
      </c>
      <c r="EO297" t="s">
        <v>3</v>
      </c>
      <c r="EQ297">
        <v>0</v>
      </c>
      <c r="ER297">
        <v>0</v>
      </c>
      <c r="ES297">
        <v>0</v>
      </c>
      <c r="ET297">
        <v>0</v>
      </c>
      <c r="EU297">
        <v>0</v>
      </c>
      <c r="EV297">
        <v>0</v>
      </c>
      <c r="EW297">
        <v>1.62</v>
      </c>
      <c r="EX297">
        <v>0</v>
      </c>
      <c r="EY297">
        <v>0</v>
      </c>
      <c r="FQ297">
        <v>0</v>
      </c>
      <c r="FR297">
        <f t="shared" si="200"/>
        <v>0</v>
      </c>
      <c r="FS297">
        <v>0</v>
      </c>
      <c r="FX297">
        <v>74</v>
      </c>
      <c r="FY297">
        <v>36</v>
      </c>
      <c r="GA297" t="s">
        <v>3</v>
      </c>
      <c r="GD297">
        <v>1</v>
      </c>
      <c r="GF297">
        <v>-1447931573</v>
      </c>
      <c r="GG297">
        <v>2</v>
      </c>
      <c r="GH297">
        <v>1</v>
      </c>
      <c r="GI297">
        <v>-2</v>
      </c>
      <c r="GJ297">
        <v>0</v>
      </c>
      <c r="GK297">
        <v>0</v>
      </c>
      <c r="GL297">
        <f t="shared" si="201"/>
        <v>0</v>
      </c>
      <c r="GM297">
        <f t="shared" si="202"/>
        <v>2216.8000000000002</v>
      </c>
      <c r="GN297">
        <f t="shared" si="203"/>
        <v>0</v>
      </c>
      <c r="GO297">
        <f t="shared" si="204"/>
        <v>0</v>
      </c>
      <c r="GP297">
        <f t="shared" si="205"/>
        <v>2216.8000000000002</v>
      </c>
      <c r="GR297">
        <v>0</v>
      </c>
      <c r="GS297">
        <v>0</v>
      </c>
      <c r="GT297">
        <v>0</v>
      </c>
      <c r="GU297" t="s">
        <v>3</v>
      </c>
      <c r="GV297">
        <f t="shared" si="206"/>
        <v>0</v>
      </c>
      <c r="GW297">
        <v>1</v>
      </c>
      <c r="GX297">
        <f t="shared" si="207"/>
        <v>0</v>
      </c>
      <c r="HA297">
        <v>0</v>
      </c>
      <c r="HB297">
        <v>0</v>
      </c>
      <c r="HC297">
        <f t="shared" si="208"/>
        <v>0</v>
      </c>
      <c r="HE297" t="s">
        <v>3</v>
      </c>
      <c r="HF297" t="s">
        <v>3</v>
      </c>
      <c r="HM297" t="s">
        <v>3</v>
      </c>
      <c r="HN297" t="s">
        <v>354</v>
      </c>
      <c r="HO297" t="s">
        <v>355</v>
      </c>
      <c r="HP297" t="s">
        <v>347</v>
      </c>
      <c r="HQ297" t="s">
        <v>347</v>
      </c>
      <c r="IK297">
        <v>0</v>
      </c>
    </row>
    <row r="298" spans="1:245" x14ac:dyDescent="0.2">
      <c r="A298">
        <v>17</v>
      </c>
      <c r="B298">
        <v>1</v>
      </c>
      <c r="C298">
        <f>ROW(SmtRes!A309)</f>
        <v>309</v>
      </c>
      <c r="D298">
        <f>ROW(EtalonRes!A318)</f>
        <v>318</v>
      </c>
      <c r="E298" t="s">
        <v>386</v>
      </c>
      <c r="F298" t="s">
        <v>387</v>
      </c>
      <c r="G298" t="s">
        <v>388</v>
      </c>
      <c r="H298" t="s">
        <v>220</v>
      </c>
      <c r="I298">
        <v>2</v>
      </c>
      <c r="J298">
        <v>0</v>
      </c>
      <c r="K298">
        <v>2</v>
      </c>
      <c r="O298">
        <f t="shared" si="184"/>
        <v>6905.74</v>
      </c>
      <c r="P298">
        <f>SUMIF(SmtRes!AQ308:'SmtRes'!AQ309,"=1",SmtRes!DF308:'SmtRes'!DF309)</f>
        <v>0</v>
      </c>
      <c r="Q298">
        <f>SUMIF(SmtRes!AQ308:'SmtRes'!AQ309,"=1",SmtRes!DG308:'SmtRes'!DG309)</f>
        <v>0</v>
      </c>
      <c r="R298">
        <f>SUMIF(SmtRes!AQ308:'SmtRes'!AQ309,"=1",SmtRes!DH308:'SmtRes'!DH309)</f>
        <v>0</v>
      </c>
      <c r="S298">
        <f>SUMIF(SmtRes!AQ308:'SmtRes'!AQ309,"=1",SmtRes!DI308:'SmtRes'!DI309)</f>
        <v>6905.74</v>
      </c>
      <c r="T298">
        <f t="shared" si="185"/>
        <v>0</v>
      </c>
      <c r="U298">
        <f>SUMIF(SmtRes!AQ308:'SmtRes'!AQ309,"=1",SmtRes!CV308:'SmtRes'!CV309)</f>
        <v>14.4</v>
      </c>
      <c r="V298">
        <f>SUMIF(SmtRes!AQ308:'SmtRes'!AQ309,"=1",SmtRes!CW308:'SmtRes'!CW309)</f>
        <v>0</v>
      </c>
      <c r="W298">
        <f t="shared" si="186"/>
        <v>0</v>
      </c>
      <c r="X298">
        <f t="shared" si="187"/>
        <v>5110.25</v>
      </c>
      <c r="Y298">
        <f t="shared" si="188"/>
        <v>2486.0700000000002</v>
      </c>
      <c r="AA298">
        <v>65170852</v>
      </c>
      <c r="AB298">
        <f t="shared" si="189"/>
        <v>3452.8679999999999</v>
      </c>
      <c r="AC298">
        <f t="shared" si="190"/>
        <v>0</v>
      </c>
      <c r="AD298">
        <f t="shared" si="191"/>
        <v>0</v>
      </c>
      <c r="AE298">
        <f t="shared" si="192"/>
        <v>0</v>
      </c>
      <c r="AF298">
        <f>ROUND((SUM(SmtRes!BT308:'SmtRes'!BT309)),6)</f>
        <v>3452.8679999999999</v>
      </c>
      <c r="AG298">
        <f t="shared" si="193"/>
        <v>0</v>
      </c>
      <c r="AH298">
        <f>(SUM(SmtRes!BU308:'SmtRes'!BU309))</f>
        <v>7.2</v>
      </c>
      <c r="AI298">
        <f>(0)</f>
        <v>0</v>
      </c>
      <c r="AJ298">
        <f t="shared" si="194"/>
        <v>0</v>
      </c>
      <c r="AK298">
        <v>3452.8679999999999</v>
      </c>
      <c r="AL298">
        <v>0</v>
      </c>
      <c r="AM298">
        <v>0</v>
      </c>
      <c r="AN298">
        <v>0</v>
      </c>
      <c r="AO298">
        <v>3452.8679999999999</v>
      </c>
      <c r="AP298">
        <v>0</v>
      </c>
      <c r="AQ298">
        <v>7.2</v>
      </c>
      <c r="AR298">
        <v>0</v>
      </c>
      <c r="AS298">
        <v>0</v>
      </c>
      <c r="AT298">
        <v>74</v>
      </c>
      <c r="AU298">
        <v>36</v>
      </c>
      <c r="AV298">
        <v>1</v>
      </c>
      <c r="AW298">
        <v>1</v>
      </c>
      <c r="AZ298">
        <v>1</v>
      </c>
      <c r="BA298">
        <v>1</v>
      </c>
      <c r="BB298">
        <v>1</v>
      </c>
      <c r="BC298">
        <v>1</v>
      </c>
      <c r="BD298" t="s">
        <v>3</v>
      </c>
      <c r="BE298" t="s">
        <v>3</v>
      </c>
      <c r="BF298" t="s">
        <v>3</v>
      </c>
      <c r="BG298" t="s">
        <v>3</v>
      </c>
      <c r="BH298">
        <v>0</v>
      </c>
      <c r="BI298">
        <v>4</v>
      </c>
      <c r="BJ298" t="s">
        <v>389</v>
      </c>
      <c r="BM298">
        <v>200001</v>
      </c>
      <c r="BN298">
        <v>0</v>
      </c>
      <c r="BO298" t="s">
        <v>3</v>
      </c>
      <c r="BP298">
        <v>0</v>
      </c>
      <c r="BQ298">
        <v>4</v>
      </c>
      <c r="BR298">
        <v>0</v>
      </c>
      <c r="BS298">
        <v>1</v>
      </c>
      <c r="BT298">
        <v>1</v>
      </c>
      <c r="BU298">
        <v>1</v>
      </c>
      <c r="BV298">
        <v>1</v>
      </c>
      <c r="BW298">
        <v>1</v>
      </c>
      <c r="BX298">
        <v>1</v>
      </c>
      <c r="BY298" t="s">
        <v>3</v>
      </c>
      <c r="BZ298">
        <v>74</v>
      </c>
      <c r="CA298">
        <v>36</v>
      </c>
      <c r="CB298" t="s">
        <v>3</v>
      </c>
      <c r="CE298">
        <v>0</v>
      </c>
      <c r="CF298">
        <v>0</v>
      </c>
      <c r="CG298">
        <v>0</v>
      </c>
      <c r="CM298">
        <v>0</v>
      </c>
      <c r="CN298" t="s">
        <v>3</v>
      </c>
      <c r="CO298">
        <v>0</v>
      </c>
      <c r="CP298">
        <f t="shared" si="195"/>
        <v>6905.74</v>
      </c>
      <c r="CQ298">
        <f>SUMIF(SmtRes!AQ308:'SmtRes'!AQ309,"=1",SmtRes!AA308:'SmtRes'!AA309)</f>
        <v>0</v>
      </c>
      <c r="CR298">
        <f>SUMIF(SmtRes!AQ308:'SmtRes'!AQ309,"=1",SmtRes!AB308:'SmtRes'!AB309)</f>
        <v>0</v>
      </c>
      <c r="CS298">
        <f>SUMIF(SmtRes!AQ308:'SmtRes'!AQ309,"=1",SmtRes!AC308:'SmtRes'!AC309)</f>
        <v>0</v>
      </c>
      <c r="CT298">
        <f>SUMIF(SmtRes!AQ308:'SmtRes'!AQ309,"=1",SmtRes!AD308:'SmtRes'!AD309)</f>
        <v>959.13</v>
      </c>
      <c r="CU298">
        <f t="shared" si="196"/>
        <v>0</v>
      </c>
      <c r="CV298">
        <f>SUMIF(SmtRes!AQ308:'SmtRes'!AQ309,"=1",SmtRes!BU308:'SmtRes'!BU309)</f>
        <v>7.2</v>
      </c>
      <c r="CW298">
        <f>SUMIF(SmtRes!AQ308:'SmtRes'!AQ309,"=1",SmtRes!BV308:'SmtRes'!BV309)</f>
        <v>0</v>
      </c>
      <c r="CX298">
        <f t="shared" si="197"/>
        <v>0</v>
      </c>
      <c r="CY298">
        <f t="shared" si="198"/>
        <v>5110.2475999999997</v>
      </c>
      <c r="CZ298">
        <f t="shared" si="199"/>
        <v>2486.0663999999997</v>
      </c>
      <c r="DC298" t="s">
        <v>3</v>
      </c>
      <c r="DD298" t="s">
        <v>3</v>
      </c>
      <c r="DE298" t="s">
        <v>3</v>
      </c>
      <c r="DF298" t="s">
        <v>3</v>
      </c>
      <c r="DG298" t="s">
        <v>3</v>
      </c>
      <c r="DH298" t="s">
        <v>3</v>
      </c>
      <c r="DI298" t="s">
        <v>3</v>
      </c>
      <c r="DJ298" t="s">
        <v>3</v>
      </c>
      <c r="DK298" t="s">
        <v>3</v>
      </c>
      <c r="DL298" t="s">
        <v>3</v>
      </c>
      <c r="DM298" t="s">
        <v>3</v>
      </c>
      <c r="DN298">
        <v>0</v>
      </c>
      <c r="DO298">
        <v>0</v>
      </c>
      <c r="DP298">
        <v>1</v>
      </c>
      <c r="DQ298">
        <v>1</v>
      </c>
      <c r="DU298">
        <v>1013</v>
      </c>
      <c r="DV298" t="s">
        <v>220</v>
      </c>
      <c r="DW298" t="s">
        <v>220</v>
      </c>
      <c r="DX298">
        <v>1</v>
      </c>
      <c r="DZ298" t="s">
        <v>3</v>
      </c>
      <c r="EA298" t="s">
        <v>3</v>
      </c>
      <c r="EB298" t="s">
        <v>3</v>
      </c>
      <c r="EC298" t="s">
        <v>3</v>
      </c>
      <c r="EE298">
        <v>64850927</v>
      </c>
      <c r="EF298">
        <v>4</v>
      </c>
      <c r="EG298" t="s">
        <v>347</v>
      </c>
      <c r="EH298">
        <v>83</v>
      </c>
      <c r="EI298" t="s">
        <v>347</v>
      </c>
      <c r="EJ298">
        <v>4</v>
      </c>
      <c r="EK298">
        <v>200001</v>
      </c>
      <c r="EL298" t="s">
        <v>352</v>
      </c>
      <c r="EM298" t="s">
        <v>353</v>
      </c>
      <c r="EO298" t="s">
        <v>3</v>
      </c>
      <c r="EQ298">
        <v>0</v>
      </c>
      <c r="ER298">
        <v>0</v>
      </c>
      <c r="ES298">
        <v>0</v>
      </c>
      <c r="ET298">
        <v>0</v>
      </c>
      <c r="EU298">
        <v>0</v>
      </c>
      <c r="EV298">
        <v>0</v>
      </c>
      <c r="EW298">
        <v>7.2</v>
      </c>
      <c r="EX298">
        <v>0</v>
      </c>
      <c r="EY298">
        <v>0</v>
      </c>
      <c r="FQ298">
        <v>0</v>
      </c>
      <c r="FR298">
        <f t="shared" si="200"/>
        <v>0</v>
      </c>
      <c r="FS298">
        <v>0</v>
      </c>
      <c r="FX298">
        <v>74</v>
      </c>
      <c r="FY298">
        <v>36</v>
      </c>
      <c r="GA298" t="s">
        <v>3</v>
      </c>
      <c r="GD298">
        <v>1</v>
      </c>
      <c r="GF298">
        <v>-1492681405</v>
      </c>
      <c r="GG298">
        <v>2</v>
      </c>
      <c r="GH298">
        <v>1</v>
      </c>
      <c r="GI298">
        <v>-2</v>
      </c>
      <c r="GJ298">
        <v>0</v>
      </c>
      <c r="GK298">
        <v>0</v>
      </c>
      <c r="GL298">
        <f t="shared" si="201"/>
        <v>0</v>
      </c>
      <c r="GM298">
        <f t="shared" si="202"/>
        <v>14502.06</v>
      </c>
      <c r="GN298">
        <f t="shared" si="203"/>
        <v>0</v>
      </c>
      <c r="GO298">
        <f t="shared" si="204"/>
        <v>0</v>
      </c>
      <c r="GP298">
        <f t="shared" si="205"/>
        <v>14502.06</v>
      </c>
      <c r="GR298">
        <v>0</v>
      </c>
      <c r="GS298">
        <v>0</v>
      </c>
      <c r="GT298">
        <v>0</v>
      </c>
      <c r="GU298" t="s">
        <v>3</v>
      </c>
      <c r="GV298">
        <f t="shared" si="206"/>
        <v>0</v>
      </c>
      <c r="GW298">
        <v>1</v>
      </c>
      <c r="GX298">
        <f t="shared" si="207"/>
        <v>0</v>
      </c>
      <c r="HA298">
        <v>0</v>
      </c>
      <c r="HB298">
        <v>0</v>
      </c>
      <c r="HC298">
        <f t="shared" si="208"/>
        <v>0</v>
      </c>
      <c r="HE298" t="s">
        <v>3</v>
      </c>
      <c r="HF298" t="s">
        <v>3</v>
      </c>
      <c r="HM298" t="s">
        <v>3</v>
      </c>
      <c r="HN298" t="s">
        <v>354</v>
      </c>
      <c r="HO298" t="s">
        <v>355</v>
      </c>
      <c r="HP298" t="s">
        <v>347</v>
      </c>
      <c r="HQ298" t="s">
        <v>347</v>
      </c>
      <c r="IK298">
        <v>0</v>
      </c>
    </row>
    <row r="299" spans="1:245" x14ac:dyDescent="0.2">
      <c r="A299">
        <v>17</v>
      </c>
      <c r="B299">
        <v>1</v>
      </c>
      <c r="C299">
        <f>ROW(SmtRes!A311)</f>
        <v>311</v>
      </c>
      <c r="D299">
        <f>ROW(EtalonRes!A320)</f>
        <v>320</v>
      </c>
      <c r="E299" t="s">
        <v>390</v>
      </c>
      <c r="F299" t="s">
        <v>391</v>
      </c>
      <c r="G299" t="s">
        <v>392</v>
      </c>
      <c r="H299" t="s">
        <v>220</v>
      </c>
      <c r="I299">
        <v>5</v>
      </c>
      <c r="J299">
        <v>0</v>
      </c>
      <c r="K299">
        <v>5</v>
      </c>
      <c r="O299">
        <f t="shared" si="184"/>
        <v>3258.1</v>
      </c>
      <c r="P299">
        <f>SUMIF(SmtRes!AQ310:'SmtRes'!AQ311,"=1",SmtRes!DF310:'SmtRes'!DF311)</f>
        <v>0</v>
      </c>
      <c r="Q299">
        <f>SUMIF(SmtRes!AQ310:'SmtRes'!AQ311,"=1",SmtRes!DG310:'SmtRes'!DG311)</f>
        <v>0</v>
      </c>
      <c r="R299">
        <f>SUMIF(SmtRes!AQ310:'SmtRes'!AQ311,"=1",SmtRes!DH310:'SmtRes'!DH311)</f>
        <v>0</v>
      </c>
      <c r="S299">
        <f>SUMIF(SmtRes!AQ310:'SmtRes'!AQ311,"=1",SmtRes!DI310:'SmtRes'!DI311)</f>
        <v>3258.1</v>
      </c>
      <c r="T299">
        <f t="shared" si="185"/>
        <v>0</v>
      </c>
      <c r="U299">
        <f>SUMIF(SmtRes!AQ310:'SmtRes'!AQ311,"=1",SmtRes!CV310:'SmtRes'!CV311)</f>
        <v>5</v>
      </c>
      <c r="V299">
        <f>SUMIF(SmtRes!AQ310:'SmtRes'!AQ311,"=1",SmtRes!CW310:'SmtRes'!CW311)</f>
        <v>0</v>
      </c>
      <c r="W299">
        <f t="shared" si="186"/>
        <v>0</v>
      </c>
      <c r="X299">
        <f t="shared" si="187"/>
        <v>2410.9899999999998</v>
      </c>
      <c r="Y299">
        <f t="shared" si="188"/>
        <v>1172.92</v>
      </c>
      <c r="AA299">
        <v>65170852</v>
      </c>
      <c r="AB299">
        <f t="shared" si="189"/>
        <v>651.62</v>
      </c>
      <c r="AC299">
        <f t="shared" si="190"/>
        <v>0</v>
      </c>
      <c r="AD299">
        <f t="shared" si="191"/>
        <v>0</v>
      </c>
      <c r="AE299">
        <f t="shared" si="192"/>
        <v>0</v>
      </c>
      <c r="AF299">
        <f>ROUND((SUM(SmtRes!BT310:'SmtRes'!BT311)),6)</f>
        <v>651.62</v>
      </c>
      <c r="AG299">
        <f t="shared" si="193"/>
        <v>0</v>
      </c>
      <c r="AH299">
        <f>(SUM(SmtRes!BU310:'SmtRes'!BU311))</f>
        <v>1</v>
      </c>
      <c r="AI299">
        <f>(0)</f>
        <v>0</v>
      </c>
      <c r="AJ299">
        <f t="shared" si="194"/>
        <v>0</v>
      </c>
      <c r="AK299">
        <v>651.62</v>
      </c>
      <c r="AL299">
        <v>0</v>
      </c>
      <c r="AM299">
        <v>0</v>
      </c>
      <c r="AN299">
        <v>0</v>
      </c>
      <c r="AO299">
        <v>651.62</v>
      </c>
      <c r="AP299">
        <v>0</v>
      </c>
      <c r="AQ299">
        <v>1</v>
      </c>
      <c r="AR299">
        <v>0</v>
      </c>
      <c r="AS299">
        <v>0</v>
      </c>
      <c r="AT299">
        <v>74</v>
      </c>
      <c r="AU299">
        <v>36</v>
      </c>
      <c r="AV299">
        <v>1</v>
      </c>
      <c r="AW299">
        <v>1</v>
      </c>
      <c r="AZ299">
        <v>1</v>
      </c>
      <c r="BA299">
        <v>1</v>
      </c>
      <c r="BB299">
        <v>1</v>
      </c>
      <c r="BC299">
        <v>1</v>
      </c>
      <c r="BD299" t="s">
        <v>3</v>
      </c>
      <c r="BE299" t="s">
        <v>3</v>
      </c>
      <c r="BF299" t="s">
        <v>3</v>
      </c>
      <c r="BG299" t="s">
        <v>3</v>
      </c>
      <c r="BH299">
        <v>0</v>
      </c>
      <c r="BI299">
        <v>4</v>
      </c>
      <c r="BJ299" t="s">
        <v>393</v>
      </c>
      <c r="BM299">
        <v>200001</v>
      </c>
      <c r="BN299">
        <v>0</v>
      </c>
      <c r="BO299" t="s">
        <v>3</v>
      </c>
      <c r="BP299">
        <v>0</v>
      </c>
      <c r="BQ299">
        <v>4</v>
      </c>
      <c r="BR299">
        <v>0</v>
      </c>
      <c r="BS299">
        <v>1</v>
      </c>
      <c r="BT299">
        <v>1</v>
      </c>
      <c r="BU299">
        <v>1</v>
      </c>
      <c r="BV299">
        <v>1</v>
      </c>
      <c r="BW299">
        <v>1</v>
      </c>
      <c r="BX299">
        <v>1</v>
      </c>
      <c r="BY299" t="s">
        <v>3</v>
      </c>
      <c r="BZ299">
        <v>74</v>
      </c>
      <c r="CA299">
        <v>36</v>
      </c>
      <c r="CB299" t="s">
        <v>3</v>
      </c>
      <c r="CE299">
        <v>0</v>
      </c>
      <c r="CF299">
        <v>0</v>
      </c>
      <c r="CG299">
        <v>0</v>
      </c>
      <c r="CM299">
        <v>0</v>
      </c>
      <c r="CN299" t="s">
        <v>3</v>
      </c>
      <c r="CO299">
        <v>0</v>
      </c>
      <c r="CP299">
        <f t="shared" si="195"/>
        <v>3258.1</v>
      </c>
      <c r="CQ299">
        <f>SUMIF(SmtRes!AQ310:'SmtRes'!AQ311,"=1",SmtRes!AA310:'SmtRes'!AA311)</f>
        <v>0</v>
      </c>
      <c r="CR299">
        <f>SUMIF(SmtRes!AQ310:'SmtRes'!AQ311,"=1",SmtRes!AB310:'SmtRes'!AB311)</f>
        <v>0</v>
      </c>
      <c r="CS299">
        <f>SUMIF(SmtRes!AQ310:'SmtRes'!AQ311,"=1",SmtRes!AC310:'SmtRes'!AC311)</f>
        <v>0</v>
      </c>
      <c r="CT299">
        <f>SUMIF(SmtRes!AQ310:'SmtRes'!AQ311,"=1",SmtRes!AD310:'SmtRes'!AD311)</f>
        <v>1303.24</v>
      </c>
      <c r="CU299">
        <f t="shared" si="196"/>
        <v>0</v>
      </c>
      <c r="CV299">
        <f>SUMIF(SmtRes!AQ310:'SmtRes'!AQ311,"=1",SmtRes!BU310:'SmtRes'!BU311)</f>
        <v>1</v>
      </c>
      <c r="CW299">
        <f>SUMIF(SmtRes!AQ310:'SmtRes'!AQ311,"=1",SmtRes!BV310:'SmtRes'!BV311)</f>
        <v>0</v>
      </c>
      <c r="CX299">
        <f t="shared" si="197"/>
        <v>0</v>
      </c>
      <c r="CY299">
        <f t="shared" si="198"/>
        <v>2410.9940000000001</v>
      </c>
      <c r="CZ299">
        <f t="shared" si="199"/>
        <v>1172.9159999999999</v>
      </c>
      <c r="DC299" t="s">
        <v>3</v>
      </c>
      <c r="DD299" t="s">
        <v>3</v>
      </c>
      <c r="DE299" t="s">
        <v>3</v>
      </c>
      <c r="DF299" t="s">
        <v>3</v>
      </c>
      <c r="DG299" t="s">
        <v>3</v>
      </c>
      <c r="DH299" t="s">
        <v>3</v>
      </c>
      <c r="DI299" t="s">
        <v>3</v>
      </c>
      <c r="DJ299" t="s">
        <v>3</v>
      </c>
      <c r="DK299" t="s">
        <v>3</v>
      </c>
      <c r="DL299" t="s">
        <v>3</v>
      </c>
      <c r="DM299" t="s">
        <v>3</v>
      </c>
      <c r="DN299">
        <v>0</v>
      </c>
      <c r="DO299">
        <v>0</v>
      </c>
      <c r="DP299">
        <v>1</v>
      </c>
      <c r="DQ299">
        <v>1</v>
      </c>
      <c r="DU299">
        <v>1013</v>
      </c>
      <c r="DV299" t="s">
        <v>220</v>
      </c>
      <c r="DW299" t="s">
        <v>220</v>
      </c>
      <c r="DX299">
        <v>1</v>
      </c>
      <c r="DZ299" t="s">
        <v>3</v>
      </c>
      <c r="EA299" t="s">
        <v>3</v>
      </c>
      <c r="EB299" t="s">
        <v>3</v>
      </c>
      <c r="EC299" t="s">
        <v>3</v>
      </c>
      <c r="EE299">
        <v>64850927</v>
      </c>
      <c r="EF299">
        <v>4</v>
      </c>
      <c r="EG299" t="s">
        <v>347</v>
      </c>
      <c r="EH299">
        <v>83</v>
      </c>
      <c r="EI299" t="s">
        <v>347</v>
      </c>
      <c r="EJ299">
        <v>4</v>
      </c>
      <c r="EK299">
        <v>200001</v>
      </c>
      <c r="EL299" t="s">
        <v>352</v>
      </c>
      <c r="EM299" t="s">
        <v>353</v>
      </c>
      <c r="EO299" t="s">
        <v>3</v>
      </c>
      <c r="EQ299">
        <v>0</v>
      </c>
      <c r="ER299">
        <v>0</v>
      </c>
      <c r="ES299">
        <v>0</v>
      </c>
      <c r="ET299">
        <v>0</v>
      </c>
      <c r="EU299">
        <v>0</v>
      </c>
      <c r="EV299">
        <v>0</v>
      </c>
      <c r="EW299">
        <v>1</v>
      </c>
      <c r="EX299">
        <v>0</v>
      </c>
      <c r="EY299">
        <v>0</v>
      </c>
      <c r="FQ299">
        <v>0</v>
      </c>
      <c r="FR299">
        <f t="shared" si="200"/>
        <v>0</v>
      </c>
      <c r="FS299">
        <v>0</v>
      </c>
      <c r="FX299">
        <v>74</v>
      </c>
      <c r="FY299">
        <v>36</v>
      </c>
      <c r="GA299" t="s">
        <v>3</v>
      </c>
      <c r="GD299">
        <v>1</v>
      </c>
      <c r="GF299">
        <v>1104244262</v>
      </c>
      <c r="GG299">
        <v>2</v>
      </c>
      <c r="GH299">
        <v>1</v>
      </c>
      <c r="GI299">
        <v>-2</v>
      </c>
      <c r="GJ299">
        <v>0</v>
      </c>
      <c r="GK299">
        <v>0</v>
      </c>
      <c r="GL299">
        <f t="shared" si="201"/>
        <v>0</v>
      </c>
      <c r="GM299">
        <f t="shared" si="202"/>
        <v>6842.01</v>
      </c>
      <c r="GN299">
        <f t="shared" si="203"/>
        <v>0</v>
      </c>
      <c r="GO299">
        <f t="shared" si="204"/>
        <v>0</v>
      </c>
      <c r="GP299">
        <f t="shared" si="205"/>
        <v>6842.01</v>
      </c>
      <c r="GR299">
        <v>0</v>
      </c>
      <c r="GS299">
        <v>0</v>
      </c>
      <c r="GT299">
        <v>0</v>
      </c>
      <c r="GU299" t="s">
        <v>3</v>
      </c>
      <c r="GV299">
        <f t="shared" si="206"/>
        <v>0</v>
      </c>
      <c r="GW299">
        <v>1</v>
      </c>
      <c r="GX299">
        <f t="shared" si="207"/>
        <v>0</v>
      </c>
      <c r="HA299">
        <v>0</v>
      </c>
      <c r="HB299">
        <v>0</v>
      </c>
      <c r="HC299">
        <f t="shared" si="208"/>
        <v>0</v>
      </c>
      <c r="HE299" t="s">
        <v>3</v>
      </c>
      <c r="HF299" t="s">
        <v>3</v>
      </c>
      <c r="HM299" t="s">
        <v>3</v>
      </c>
      <c r="HN299" t="s">
        <v>354</v>
      </c>
      <c r="HO299" t="s">
        <v>355</v>
      </c>
      <c r="HP299" t="s">
        <v>347</v>
      </c>
      <c r="HQ299" t="s">
        <v>347</v>
      </c>
      <c r="IK299">
        <v>0</v>
      </c>
    </row>
    <row r="300" spans="1:245" x14ac:dyDescent="0.2">
      <c r="A300">
        <v>17</v>
      </c>
      <c r="B300">
        <v>1</v>
      </c>
      <c r="C300">
        <f>ROW(SmtRes!A313)</f>
        <v>313</v>
      </c>
      <c r="D300">
        <f>ROW(EtalonRes!A322)</f>
        <v>322</v>
      </c>
      <c r="E300" t="s">
        <v>394</v>
      </c>
      <c r="F300" t="s">
        <v>395</v>
      </c>
      <c r="G300" t="s">
        <v>396</v>
      </c>
      <c r="H300" t="s">
        <v>220</v>
      </c>
      <c r="I300">
        <v>3</v>
      </c>
      <c r="J300">
        <v>0</v>
      </c>
      <c r="K300">
        <v>3</v>
      </c>
      <c r="O300">
        <f t="shared" si="184"/>
        <v>2409.98</v>
      </c>
      <c r="P300">
        <f>SUMIF(SmtRes!AQ312:'SmtRes'!AQ313,"=1",SmtRes!DF312:'SmtRes'!DF313)</f>
        <v>0</v>
      </c>
      <c r="Q300">
        <f>SUMIF(SmtRes!AQ312:'SmtRes'!AQ313,"=1",SmtRes!DG312:'SmtRes'!DG313)</f>
        <v>0</v>
      </c>
      <c r="R300">
        <f>SUMIF(SmtRes!AQ312:'SmtRes'!AQ313,"=1",SmtRes!DH312:'SmtRes'!DH313)</f>
        <v>0</v>
      </c>
      <c r="S300">
        <f>SUMIF(SmtRes!AQ312:'SmtRes'!AQ313,"=1",SmtRes!DI312:'SmtRes'!DI313)</f>
        <v>2409.98</v>
      </c>
      <c r="T300">
        <f t="shared" si="185"/>
        <v>0</v>
      </c>
      <c r="U300">
        <f>SUMIF(SmtRes!AQ312:'SmtRes'!AQ313,"=1",SmtRes!CV312:'SmtRes'!CV313)</f>
        <v>3.9</v>
      </c>
      <c r="V300">
        <f>SUMIF(SmtRes!AQ312:'SmtRes'!AQ313,"=1",SmtRes!CW312:'SmtRes'!CW313)</f>
        <v>0</v>
      </c>
      <c r="W300">
        <f t="shared" si="186"/>
        <v>0</v>
      </c>
      <c r="X300">
        <f t="shared" si="187"/>
        <v>1783.39</v>
      </c>
      <c r="Y300">
        <f t="shared" si="188"/>
        <v>867.59</v>
      </c>
      <c r="AA300">
        <v>65170852</v>
      </c>
      <c r="AB300">
        <f t="shared" si="189"/>
        <v>803.32719999999995</v>
      </c>
      <c r="AC300">
        <f t="shared" si="190"/>
        <v>0</v>
      </c>
      <c r="AD300">
        <f t="shared" si="191"/>
        <v>0</v>
      </c>
      <c r="AE300">
        <f t="shared" si="192"/>
        <v>0</v>
      </c>
      <c r="AF300">
        <f>ROUND((SUM(SmtRes!BT312:'SmtRes'!BT313)),6)</f>
        <v>803.32719999999995</v>
      </c>
      <c r="AG300">
        <f t="shared" si="193"/>
        <v>0</v>
      </c>
      <c r="AH300">
        <f>(SUM(SmtRes!BU312:'SmtRes'!BU313))</f>
        <v>1.3</v>
      </c>
      <c r="AI300">
        <f>(0)</f>
        <v>0</v>
      </c>
      <c r="AJ300">
        <f t="shared" si="194"/>
        <v>0</v>
      </c>
      <c r="AK300">
        <v>803.32720000000006</v>
      </c>
      <c r="AL300">
        <v>0</v>
      </c>
      <c r="AM300">
        <v>0</v>
      </c>
      <c r="AN300">
        <v>0</v>
      </c>
      <c r="AO300">
        <v>803.32720000000006</v>
      </c>
      <c r="AP300">
        <v>0</v>
      </c>
      <c r="AQ300">
        <v>1.3</v>
      </c>
      <c r="AR300">
        <v>0</v>
      </c>
      <c r="AS300">
        <v>0</v>
      </c>
      <c r="AT300">
        <v>74</v>
      </c>
      <c r="AU300">
        <v>36</v>
      </c>
      <c r="AV300">
        <v>1</v>
      </c>
      <c r="AW300">
        <v>1</v>
      </c>
      <c r="AZ300">
        <v>1</v>
      </c>
      <c r="BA300">
        <v>1</v>
      </c>
      <c r="BB300">
        <v>1</v>
      </c>
      <c r="BC300">
        <v>1</v>
      </c>
      <c r="BD300" t="s">
        <v>3</v>
      </c>
      <c r="BE300" t="s">
        <v>3</v>
      </c>
      <c r="BF300" t="s">
        <v>3</v>
      </c>
      <c r="BG300" t="s">
        <v>3</v>
      </c>
      <c r="BH300">
        <v>0</v>
      </c>
      <c r="BI300">
        <v>4</v>
      </c>
      <c r="BJ300" t="s">
        <v>397</v>
      </c>
      <c r="BM300">
        <v>200001</v>
      </c>
      <c r="BN300">
        <v>0</v>
      </c>
      <c r="BO300" t="s">
        <v>3</v>
      </c>
      <c r="BP300">
        <v>0</v>
      </c>
      <c r="BQ300">
        <v>4</v>
      </c>
      <c r="BR300">
        <v>0</v>
      </c>
      <c r="BS300">
        <v>1</v>
      </c>
      <c r="BT300">
        <v>1</v>
      </c>
      <c r="BU300">
        <v>1</v>
      </c>
      <c r="BV300">
        <v>1</v>
      </c>
      <c r="BW300">
        <v>1</v>
      </c>
      <c r="BX300">
        <v>1</v>
      </c>
      <c r="BY300" t="s">
        <v>3</v>
      </c>
      <c r="BZ300">
        <v>74</v>
      </c>
      <c r="CA300">
        <v>36</v>
      </c>
      <c r="CB300" t="s">
        <v>3</v>
      </c>
      <c r="CE300">
        <v>0</v>
      </c>
      <c r="CF300">
        <v>0</v>
      </c>
      <c r="CG300">
        <v>0</v>
      </c>
      <c r="CM300">
        <v>0</v>
      </c>
      <c r="CN300" t="s">
        <v>3</v>
      </c>
      <c r="CO300">
        <v>0</v>
      </c>
      <c r="CP300">
        <f t="shared" si="195"/>
        <v>2409.98</v>
      </c>
      <c r="CQ300">
        <f>SUMIF(SmtRes!AQ312:'SmtRes'!AQ313,"=1",SmtRes!AA312:'SmtRes'!AA313)</f>
        <v>0</v>
      </c>
      <c r="CR300">
        <f>SUMIF(SmtRes!AQ312:'SmtRes'!AQ313,"=1",SmtRes!AB312:'SmtRes'!AB313)</f>
        <v>0</v>
      </c>
      <c r="CS300">
        <f>SUMIF(SmtRes!AQ312:'SmtRes'!AQ313,"=1",SmtRes!AC312:'SmtRes'!AC313)</f>
        <v>0</v>
      </c>
      <c r="CT300">
        <f>SUMIF(SmtRes!AQ312:'SmtRes'!AQ313,"=1",SmtRes!AD312:'SmtRes'!AD313)</f>
        <v>1186.0999999999999</v>
      </c>
      <c r="CU300">
        <f t="shared" si="196"/>
        <v>0</v>
      </c>
      <c r="CV300">
        <f>SUMIF(SmtRes!AQ312:'SmtRes'!AQ313,"=1",SmtRes!BU312:'SmtRes'!BU313)</f>
        <v>1.3</v>
      </c>
      <c r="CW300">
        <f>SUMIF(SmtRes!AQ312:'SmtRes'!AQ313,"=1",SmtRes!BV312:'SmtRes'!BV313)</f>
        <v>0</v>
      </c>
      <c r="CX300">
        <f t="shared" si="197"/>
        <v>0</v>
      </c>
      <c r="CY300">
        <f t="shared" si="198"/>
        <v>1783.3851999999999</v>
      </c>
      <c r="CZ300">
        <f t="shared" si="199"/>
        <v>867.59280000000001</v>
      </c>
      <c r="DC300" t="s">
        <v>3</v>
      </c>
      <c r="DD300" t="s">
        <v>3</v>
      </c>
      <c r="DE300" t="s">
        <v>3</v>
      </c>
      <c r="DF300" t="s">
        <v>3</v>
      </c>
      <c r="DG300" t="s">
        <v>3</v>
      </c>
      <c r="DH300" t="s">
        <v>3</v>
      </c>
      <c r="DI300" t="s">
        <v>3</v>
      </c>
      <c r="DJ300" t="s">
        <v>3</v>
      </c>
      <c r="DK300" t="s">
        <v>3</v>
      </c>
      <c r="DL300" t="s">
        <v>3</v>
      </c>
      <c r="DM300" t="s">
        <v>3</v>
      </c>
      <c r="DN300">
        <v>0</v>
      </c>
      <c r="DO300">
        <v>0</v>
      </c>
      <c r="DP300">
        <v>1</v>
      </c>
      <c r="DQ300">
        <v>1</v>
      </c>
      <c r="DU300">
        <v>1013</v>
      </c>
      <c r="DV300" t="s">
        <v>220</v>
      </c>
      <c r="DW300" t="s">
        <v>220</v>
      </c>
      <c r="DX300">
        <v>1</v>
      </c>
      <c r="DZ300" t="s">
        <v>3</v>
      </c>
      <c r="EA300" t="s">
        <v>3</v>
      </c>
      <c r="EB300" t="s">
        <v>3</v>
      </c>
      <c r="EC300" t="s">
        <v>3</v>
      </c>
      <c r="EE300">
        <v>64850927</v>
      </c>
      <c r="EF300">
        <v>4</v>
      </c>
      <c r="EG300" t="s">
        <v>347</v>
      </c>
      <c r="EH300">
        <v>83</v>
      </c>
      <c r="EI300" t="s">
        <v>347</v>
      </c>
      <c r="EJ300">
        <v>4</v>
      </c>
      <c r="EK300">
        <v>200001</v>
      </c>
      <c r="EL300" t="s">
        <v>352</v>
      </c>
      <c r="EM300" t="s">
        <v>353</v>
      </c>
      <c r="EO300" t="s">
        <v>3</v>
      </c>
      <c r="EQ300">
        <v>0</v>
      </c>
      <c r="ER300">
        <v>0</v>
      </c>
      <c r="ES300">
        <v>0</v>
      </c>
      <c r="ET300">
        <v>0</v>
      </c>
      <c r="EU300">
        <v>0</v>
      </c>
      <c r="EV300">
        <v>0</v>
      </c>
      <c r="EW300">
        <v>1.3</v>
      </c>
      <c r="EX300">
        <v>0</v>
      </c>
      <c r="EY300">
        <v>0</v>
      </c>
      <c r="FQ300">
        <v>0</v>
      </c>
      <c r="FR300">
        <f t="shared" si="200"/>
        <v>0</v>
      </c>
      <c r="FS300">
        <v>0</v>
      </c>
      <c r="FX300">
        <v>74</v>
      </c>
      <c r="FY300">
        <v>36</v>
      </c>
      <c r="GA300" t="s">
        <v>3</v>
      </c>
      <c r="GD300">
        <v>1</v>
      </c>
      <c r="GF300">
        <v>894165356</v>
      </c>
      <c r="GG300">
        <v>2</v>
      </c>
      <c r="GH300">
        <v>1</v>
      </c>
      <c r="GI300">
        <v>-2</v>
      </c>
      <c r="GJ300">
        <v>0</v>
      </c>
      <c r="GK300">
        <v>0</v>
      </c>
      <c r="GL300">
        <f t="shared" si="201"/>
        <v>0</v>
      </c>
      <c r="GM300">
        <f t="shared" si="202"/>
        <v>5060.96</v>
      </c>
      <c r="GN300">
        <f t="shared" si="203"/>
        <v>0</v>
      </c>
      <c r="GO300">
        <f t="shared" si="204"/>
        <v>0</v>
      </c>
      <c r="GP300">
        <f t="shared" si="205"/>
        <v>5060.96</v>
      </c>
      <c r="GR300">
        <v>0</v>
      </c>
      <c r="GS300">
        <v>0</v>
      </c>
      <c r="GT300">
        <v>0</v>
      </c>
      <c r="GU300" t="s">
        <v>3</v>
      </c>
      <c r="GV300">
        <f t="shared" si="206"/>
        <v>0</v>
      </c>
      <c r="GW300">
        <v>1</v>
      </c>
      <c r="GX300">
        <f t="shared" si="207"/>
        <v>0</v>
      </c>
      <c r="HA300">
        <v>0</v>
      </c>
      <c r="HB300">
        <v>0</v>
      </c>
      <c r="HC300">
        <f t="shared" si="208"/>
        <v>0</v>
      </c>
      <c r="HE300" t="s">
        <v>3</v>
      </c>
      <c r="HF300" t="s">
        <v>3</v>
      </c>
      <c r="HM300" t="s">
        <v>3</v>
      </c>
      <c r="HN300" t="s">
        <v>354</v>
      </c>
      <c r="HO300" t="s">
        <v>355</v>
      </c>
      <c r="HP300" t="s">
        <v>347</v>
      </c>
      <c r="HQ300" t="s">
        <v>347</v>
      </c>
      <c r="IK300">
        <v>0</v>
      </c>
    </row>
    <row r="301" spans="1:245" x14ac:dyDescent="0.2">
      <c r="A301">
        <v>17</v>
      </c>
      <c r="B301">
        <v>1</v>
      </c>
      <c r="C301">
        <f>ROW(SmtRes!A315)</f>
        <v>315</v>
      </c>
      <c r="D301">
        <f>ROW(EtalonRes!A324)</f>
        <v>324</v>
      </c>
      <c r="E301" t="s">
        <v>398</v>
      </c>
      <c r="F301" t="s">
        <v>399</v>
      </c>
      <c r="G301" t="s">
        <v>400</v>
      </c>
      <c r="H301" t="s">
        <v>368</v>
      </c>
      <c r="I301">
        <v>3</v>
      </c>
      <c r="J301">
        <v>0</v>
      </c>
      <c r="K301">
        <v>3</v>
      </c>
      <c r="O301">
        <f t="shared" si="184"/>
        <v>4783.28</v>
      </c>
      <c r="P301">
        <f>SUMIF(SmtRes!AQ314:'SmtRes'!AQ315,"=1",SmtRes!DF314:'SmtRes'!DF315)</f>
        <v>0</v>
      </c>
      <c r="Q301">
        <f>SUMIF(SmtRes!AQ314:'SmtRes'!AQ315,"=1",SmtRes!DG314:'SmtRes'!DG315)</f>
        <v>0</v>
      </c>
      <c r="R301">
        <f>SUMIF(SmtRes!AQ314:'SmtRes'!AQ315,"=1",SmtRes!DH314:'SmtRes'!DH315)</f>
        <v>0</v>
      </c>
      <c r="S301">
        <f>SUMIF(SmtRes!AQ314:'SmtRes'!AQ315,"=1",SmtRes!DI314:'SmtRes'!DI315)</f>
        <v>4783.28</v>
      </c>
      <c r="T301">
        <f t="shared" si="185"/>
        <v>0</v>
      </c>
      <c r="U301">
        <f>SUMIF(SmtRes!AQ314:'SmtRes'!AQ315,"=1",SmtRes!CV314:'SmtRes'!CV315)</f>
        <v>7.29</v>
      </c>
      <c r="V301">
        <f>SUMIF(SmtRes!AQ314:'SmtRes'!AQ315,"=1",SmtRes!CW314:'SmtRes'!CW315)</f>
        <v>0</v>
      </c>
      <c r="W301">
        <f t="shared" si="186"/>
        <v>0</v>
      </c>
      <c r="X301">
        <f t="shared" si="187"/>
        <v>3539.63</v>
      </c>
      <c r="Y301">
        <f t="shared" si="188"/>
        <v>1721.98</v>
      </c>
      <c r="AA301">
        <v>65170852</v>
      </c>
      <c r="AB301">
        <f t="shared" si="189"/>
        <v>1594.4264000000001</v>
      </c>
      <c r="AC301">
        <f t="shared" si="190"/>
        <v>0</v>
      </c>
      <c r="AD301">
        <f t="shared" si="191"/>
        <v>0</v>
      </c>
      <c r="AE301">
        <f t="shared" si="192"/>
        <v>0</v>
      </c>
      <c r="AF301">
        <f>ROUND((SUM(SmtRes!BT314:'SmtRes'!BT315)),6)</f>
        <v>1594.4264000000001</v>
      </c>
      <c r="AG301">
        <f t="shared" si="193"/>
        <v>0</v>
      </c>
      <c r="AH301">
        <f>(SUM(SmtRes!BU314:'SmtRes'!BU315))</f>
        <v>2.4299999999999997</v>
      </c>
      <c r="AI301">
        <f>(0)</f>
        <v>0</v>
      </c>
      <c r="AJ301">
        <f t="shared" si="194"/>
        <v>0</v>
      </c>
      <c r="AK301">
        <v>1594.4263999999998</v>
      </c>
      <c r="AL301">
        <v>0</v>
      </c>
      <c r="AM301">
        <v>0</v>
      </c>
      <c r="AN301">
        <v>0</v>
      </c>
      <c r="AO301">
        <v>1594.4263999999998</v>
      </c>
      <c r="AP301">
        <v>0</v>
      </c>
      <c r="AQ301">
        <v>2.4299999999999997</v>
      </c>
      <c r="AR301">
        <v>0</v>
      </c>
      <c r="AS301">
        <v>0</v>
      </c>
      <c r="AT301">
        <v>74</v>
      </c>
      <c r="AU301">
        <v>36</v>
      </c>
      <c r="AV301">
        <v>1</v>
      </c>
      <c r="AW301">
        <v>1</v>
      </c>
      <c r="AZ301">
        <v>1</v>
      </c>
      <c r="BA301">
        <v>1</v>
      </c>
      <c r="BB301">
        <v>1</v>
      </c>
      <c r="BC301">
        <v>1</v>
      </c>
      <c r="BD301" t="s">
        <v>3</v>
      </c>
      <c r="BE301" t="s">
        <v>3</v>
      </c>
      <c r="BF301" t="s">
        <v>3</v>
      </c>
      <c r="BG301" t="s">
        <v>3</v>
      </c>
      <c r="BH301">
        <v>0</v>
      </c>
      <c r="BI301">
        <v>4</v>
      </c>
      <c r="BJ301" t="s">
        <v>401</v>
      </c>
      <c r="BM301">
        <v>200001</v>
      </c>
      <c r="BN301">
        <v>0</v>
      </c>
      <c r="BO301" t="s">
        <v>3</v>
      </c>
      <c r="BP301">
        <v>0</v>
      </c>
      <c r="BQ301">
        <v>4</v>
      </c>
      <c r="BR301">
        <v>0</v>
      </c>
      <c r="BS301">
        <v>1</v>
      </c>
      <c r="BT301">
        <v>1</v>
      </c>
      <c r="BU301">
        <v>1</v>
      </c>
      <c r="BV301">
        <v>1</v>
      </c>
      <c r="BW301">
        <v>1</v>
      </c>
      <c r="BX301">
        <v>1</v>
      </c>
      <c r="BY301" t="s">
        <v>3</v>
      </c>
      <c r="BZ301">
        <v>74</v>
      </c>
      <c r="CA301">
        <v>36</v>
      </c>
      <c r="CB301" t="s">
        <v>3</v>
      </c>
      <c r="CE301">
        <v>0</v>
      </c>
      <c r="CF301">
        <v>0</v>
      </c>
      <c r="CG301">
        <v>0</v>
      </c>
      <c r="CM301">
        <v>0</v>
      </c>
      <c r="CN301" t="s">
        <v>3</v>
      </c>
      <c r="CO301">
        <v>0</v>
      </c>
      <c r="CP301">
        <f t="shared" si="195"/>
        <v>4783.28</v>
      </c>
      <c r="CQ301">
        <f>SUMIF(SmtRes!AQ314:'SmtRes'!AQ315,"=1",SmtRes!AA314:'SmtRes'!AA315)</f>
        <v>0</v>
      </c>
      <c r="CR301">
        <f>SUMIF(SmtRes!AQ314:'SmtRes'!AQ315,"=1",SmtRes!AB314:'SmtRes'!AB315)</f>
        <v>0</v>
      </c>
      <c r="CS301">
        <f>SUMIF(SmtRes!AQ314:'SmtRes'!AQ315,"=1",SmtRes!AC314:'SmtRes'!AC315)</f>
        <v>0</v>
      </c>
      <c r="CT301">
        <f>SUMIF(SmtRes!AQ314:'SmtRes'!AQ315,"=1",SmtRes!AD314:'SmtRes'!AD315)</f>
        <v>1281.28</v>
      </c>
      <c r="CU301">
        <f t="shared" si="196"/>
        <v>0</v>
      </c>
      <c r="CV301">
        <f>SUMIF(SmtRes!AQ314:'SmtRes'!AQ315,"=1",SmtRes!BU314:'SmtRes'!BU315)</f>
        <v>2.4299999999999997</v>
      </c>
      <c r="CW301">
        <f>SUMIF(SmtRes!AQ314:'SmtRes'!AQ315,"=1",SmtRes!BV314:'SmtRes'!BV315)</f>
        <v>0</v>
      </c>
      <c r="CX301">
        <f t="shared" si="197"/>
        <v>0</v>
      </c>
      <c r="CY301">
        <f t="shared" si="198"/>
        <v>3539.6271999999999</v>
      </c>
      <c r="CZ301">
        <f t="shared" si="199"/>
        <v>1721.9807999999998</v>
      </c>
      <c r="DC301" t="s">
        <v>3</v>
      </c>
      <c r="DD301" t="s">
        <v>3</v>
      </c>
      <c r="DE301" t="s">
        <v>3</v>
      </c>
      <c r="DF301" t="s">
        <v>3</v>
      </c>
      <c r="DG301" t="s">
        <v>3</v>
      </c>
      <c r="DH301" t="s">
        <v>3</v>
      </c>
      <c r="DI301" t="s">
        <v>3</v>
      </c>
      <c r="DJ301" t="s">
        <v>3</v>
      </c>
      <c r="DK301" t="s">
        <v>3</v>
      </c>
      <c r="DL301" t="s">
        <v>3</v>
      </c>
      <c r="DM301" t="s">
        <v>3</v>
      </c>
      <c r="DN301">
        <v>0</v>
      </c>
      <c r="DO301">
        <v>0</v>
      </c>
      <c r="DP301">
        <v>1</v>
      </c>
      <c r="DQ301">
        <v>1</v>
      </c>
      <c r="DU301">
        <v>1013</v>
      </c>
      <c r="DV301" t="s">
        <v>368</v>
      </c>
      <c r="DW301" t="s">
        <v>368</v>
      </c>
      <c r="DX301">
        <v>1</v>
      </c>
      <c r="DZ301" t="s">
        <v>3</v>
      </c>
      <c r="EA301" t="s">
        <v>3</v>
      </c>
      <c r="EB301" t="s">
        <v>3</v>
      </c>
      <c r="EC301" t="s">
        <v>3</v>
      </c>
      <c r="EE301">
        <v>64850927</v>
      </c>
      <c r="EF301">
        <v>4</v>
      </c>
      <c r="EG301" t="s">
        <v>347</v>
      </c>
      <c r="EH301">
        <v>83</v>
      </c>
      <c r="EI301" t="s">
        <v>347</v>
      </c>
      <c r="EJ301">
        <v>4</v>
      </c>
      <c r="EK301">
        <v>200001</v>
      </c>
      <c r="EL301" t="s">
        <v>352</v>
      </c>
      <c r="EM301" t="s">
        <v>353</v>
      </c>
      <c r="EO301" t="s">
        <v>3</v>
      </c>
      <c r="EQ301">
        <v>0</v>
      </c>
      <c r="ER301">
        <v>0</v>
      </c>
      <c r="ES301">
        <v>0</v>
      </c>
      <c r="ET301">
        <v>0</v>
      </c>
      <c r="EU301">
        <v>0</v>
      </c>
      <c r="EV301">
        <v>0</v>
      </c>
      <c r="EW301">
        <v>2.4300000000000002</v>
      </c>
      <c r="EX301">
        <v>0</v>
      </c>
      <c r="EY301">
        <v>0</v>
      </c>
      <c r="FQ301">
        <v>0</v>
      </c>
      <c r="FR301">
        <f t="shared" si="200"/>
        <v>0</v>
      </c>
      <c r="FS301">
        <v>0</v>
      </c>
      <c r="FX301">
        <v>74</v>
      </c>
      <c r="FY301">
        <v>36</v>
      </c>
      <c r="GA301" t="s">
        <v>3</v>
      </c>
      <c r="GD301">
        <v>1</v>
      </c>
      <c r="GF301">
        <v>386822491</v>
      </c>
      <c r="GG301">
        <v>2</v>
      </c>
      <c r="GH301">
        <v>1</v>
      </c>
      <c r="GI301">
        <v>-2</v>
      </c>
      <c r="GJ301">
        <v>0</v>
      </c>
      <c r="GK301">
        <v>0</v>
      </c>
      <c r="GL301">
        <f t="shared" si="201"/>
        <v>0</v>
      </c>
      <c r="GM301">
        <f t="shared" si="202"/>
        <v>10044.89</v>
      </c>
      <c r="GN301">
        <f t="shared" si="203"/>
        <v>0</v>
      </c>
      <c r="GO301">
        <f t="shared" si="204"/>
        <v>0</v>
      </c>
      <c r="GP301">
        <f t="shared" si="205"/>
        <v>10044.89</v>
      </c>
      <c r="GR301">
        <v>0</v>
      </c>
      <c r="GS301">
        <v>0</v>
      </c>
      <c r="GT301">
        <v>0</v>
      </c>
      <c r="GU301" t="s">
        <v>3</v>
      </c>
      <c r="GV301">
        <f t="shared" si="206"/>
        <v>0</v>
      </c>
      <c r="GW301">
        <v>1</v>
      </c>
      <c r="GX301">
        <f t="shared" si="207"/>
        <v>0</v>
      </c>
      <c r="HA301">
        <v>0</v>
      </c>
      <c r="HB301">
        <v>0</v>
      </c>
      <c r="HC301">
        <f t="shared" si="208"/>
        <v>0</v>
      </c>
      <c r="HE301" t="s">
        <v>3</v>
      </c>
      <c r="HF301" t="s">
        <v>3</v>
      </c>
      <c r="HM301" t="s">
        <v>3</v>
      </c>
      <c r="HN301" t="s">
        <v>354</v>
      </c>
      <c r="HO301" t="s">
        <v>355</v>
      </c>
      <c r="HP301" t="s">
        <v>347</v>
      </c>
      <c r="HQ301" t="s">
        <v>347</v>
      </c>
      <c r="IK301">
        <v>0</v>
      </c>
    </row>
    <row r="302" spans="1:245" x14ac:dyDescent="0.2">
      <c r="A302">
        <v>17</v>
      </c>
      <c r="B302">
        <v>1</v>
      </c>
      <c r="C302">
        <f>ROW(SmtRes!A317)</f>
        <v>317</v>
      </c>
      <c r="D302">
        <f>ROW(EtalonRes!A326)</f>
        <v>326</v>
      </c>
      <c r="E302" t="s">
        <v>402</v>
      </c>
      <c r="F302" t="s">
        <v>403</v>
      </c>
      <c r="G302" t="s">
        <v>404</v>
      </c>
      <c r="H302" t="s">
        <v>368</v>
      </c>
      <c r="I302">
        <v>3</v>
      </c>
      <c r="J302">
        <v>0</v>
      </c>
      <c r="K302">
        <v>3</v>
      </c>
      <c r="O302">
        <f t="shared" si="184"/>
        <v>3187.31</v>
      </c>
      <c r="P302">
        <f>SUMIF(SmtRes!AQ316:'SmtRes'!AQ317,"=1",SmtRes!DF316:'SmtRes'!DF317)</f>
        <v>0</v>
      </c>
      <c r="Q302">
        <f>SUMIF(SmtRes!AQ316:'SmtRes'!AQ317,"=1",SmtRes!DG316:'SmtRes'!DG317)</f>
        <v>0</v>
      </c>
      <c r="R302">
        <f>SUMIF(SmtRes!AQ316:'SmtRes'!AQ317,"=1",SmtRes!DH316:'SmtRes'!DH317)</f>
        <v>0</v>
      </c>
      <c r="S302">
        <f>SUMIF(SmtRes!AQ316:'SmtRes'!AQ317,"=1",SmtRes!DI316:'SmtRes'!DI317)</f>
        <v>3187.31</v>
      </c>
      <c r="T302">
        <f t="shared" si="185"/>
        <v>0</v>
      </c>
      <c r="U302">
        <f>SUMIF(SmtRes!AQ316:'SmtRes'!AQ317,"=1",SmtRes!CV316:'SmtRes'!CV317)</f>
        <v>4.8600000000000003</v>
      </c>
      <c r="V302">
        <f>SUMIF(SmtRes!AQ316:'SmtRes'!AQ317,"=1",SmtRes!CW316:'SmtRes'!CW317)</f>
        <v>0</v>
      </c>
      <c r="W302">
        <f t="shared" si="186"/>
        <v>0</v>
      </c>
      <c r="X302">
        <f t="shared" si="187"/>
        <v>2358.61</v>
      </c>
      <c r="Y302">
        <f t="shared" si="188"/>
        <v>1147.43</v>
      </c>
      <c r="AA302">
        <v>65170852</v>
      </c>
      <c r="AB302">
        <f t="shared" si="189"/>
        <v>1062.4384</v>
      </c>
      <c r="AC302">
        <f t="shared" si="190"/>
        <v>0</v>
      </c>
      <c r="AD302">
        <f t="shared" si="191"/>
        <v>0</v>
      </c>
      <c r="AE302">
        <f t="shared" si="192"/>
        <v>0</v>
      </c>
      <c r="AF302">
        <f>ROUND((SUM(SmtRes!BT316:'SmtRes'!BT317)),6)</f>
        <v>1062.4384</v>
      </c>
      <c r="AG302">
        <f t="shared" si="193"/>
        <v>0</v>
      </c>
      <c r="AH302">
        <f>(SUM(SmtRes!BU316:'SmtRes'!BU317))</f>
        <v>1.62</v>
      </c>
      <c r="AI302">
        <f>(0)</f>
        <v>0</v>
      </c>
      <c r="AJ302">
        <f t="shared" si="194"/>
        <v>0</v>
      </c>
      <c r="AK302">
        <v>1062.4384</v>
      </c>
      <c r="AL302">
        <v>0</v>
      </c>
      <c r="AM302">
        <v>0</v>
      </c>
      <c r="AN302">
        <v>0</v>
      </c>
      <c r="AO302">
        <v>1062.4384</v>
      </c>
      <c r="AP302">
        <v>0</v>
      </c>
      <c r="AQ302">
        <v>1.62</v>
      </c>
      <c r="AR302">
        <v>0</v>
      </c>
      <c r="AS302">
        <v>0</v>
      </c>
      <c r="AT302">
        <v>74</v>
      </c>
      <c r="AU302">
        <v>36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3</v>
      </c>
      <c r="BE302" t="s">
        <v>3</v>
      </c>
      <c r="BF302" t="s">
        <v>3</v>
      </c>
      <c r="BG302" t="s">
        <v>3</v>
      </c>
      <c r="BH302">
        <v>0</v>
      </c>
      <c r="BI302">
        <v>4</v>
      </c>
      <c r="BJ302" t="s">
        <v>405</v>
      </c>
      <c r="BM302">
        <v>200001</v>
      </c>
      <c r="BN302">
        <v>0</v>
      </c>
      <c r="BO302" t="s">
        <v>3</v>
      </c>
      <c r="BP302">
        <v>0</v>
      </c>
      <c r="BQ302">
        <v>4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74</v>
      </c>
      <c r="CA302">
        <v>36</v>
      </c>
      <c r="CB302" t="s">
        <v>3</v>
      </c>
      <c r="CE302">
        <v>0</v>
      </c>
      <c r="CF302">
        <v>0</v>
      </c>
      <c r="CG302">
        <v>0</v>
      </c>
      <c r="CM302">
        <v>0</v>
      </c>
      <c r="CN302" t="s">
        <v>3</v>
      </c>
      <c r="CO302">
        <v>0</v>
      </c>
      <c r="CP302">
        <f t="shared" si="195"/>
        <v>3187.31</v>
      </c>
      <c r="CQ302">
        <f>SUMIF(SmtRes!AQ316:'SmtRes'!AQ317,"=1",SmtRes!AA316:'SmtRes'!AA317)</f>
        <v>0</v>
      </c>
      <c r="CR302">
        <f>SUMIF(SmtRes!AQ316:'SmtRes'!AQ317,"=1",SmtRes!AB316:'SmtRes'!AB317)</f>
        <v>0</v>
      </c>
      <c r="CS302">
        <f>SUMIF(SmtRes!AQ316:'SmtRes'!AQ317,"=1",SmtRes!AC316:'SmtRes'!AC317)</f>
        <v>0</v>
      </c>
      <c r="CT302">
        <f>SUMIF(SmtRes!AQ316:'SmtRes'!AQ317,"=1",SmtRes!AD316:'SmtRes'!AD317)</f>
        <v>1281.28</v>
      </c>
      <c r="CU302">
        <f t="shared" si="196"/>
        <v>0</v>
      </c>
      <c r="CV302">
        <f>SUMIF(SmtRes!AQ316:'SmtRes'!AQ317,"=1",SmtRes!BU316:'SmtRes'!BU317)</f>
        <v>1.62</v>
      </c>
      <c r="CW302">
        <f>SUMIF(SmtRes!AQ316:'SmtRes'!AQ317,"=1",SmtRes!BV316:'SmtRes'!BV317)</f>
        <v>0</v>
      </c>
      <c r="CX302">
        <f t="shared" si="197"/>
        <v>0</v>
      </c>
      <c r="CY302">
        <f t="shared" si="198"/>
        <v>2358.6093999999998</v>
      </c>
      <c r="CZ302">
        <f t="shared" si="199"/>
        <v>1147.4316000000001</v>
      </c>
      <c r="DC302" t="s">
        <v>3</v>
      </c>
      <c r="DD302" t="s">
        <v>3</v>
      </c>
      <c r="DE302" t="s">
        <v>3</v>
      </c>
      <c r="DF302" t="s">
        <v>3</v>
      </c>
      <c r="DG302" t="s">
        <v>3</v>
      </c>
      <c r="DH302" t="s">
        <v>3</v>
      </c>
      <c r="DI302" t="s">
        <v>3</v>
      </c>
      <c r="DJ302" t="s">
        <v>3</v>
      </c>
      <c r="DK302" t="s">
        <v>3</v>
      </c>
      <c r="DL302" t="s">
        <v>3</v>
      </c>
      <c r="DM302" t="s">
        <v>3</v>
      </c>
      <c r="DN302">
        <v>0</v>
      </c>
      <c r="DO302">
        <v>0</v>
      </c>
      <c r="DP302">
        <v>1</v>
      </c>
      <c r="DQ302">
        <v>1</v>
      </c>
      <c r="DU302">
        <v>1013</v>
      </c>
      <c r="DV302" t="s">
        <v>368</v>
      </c>
      <c r="DW302" t="s">
        <v>368</v>
      </c>
      <c r="DX302">
        <v>1</v>
      </c>
      <c r="DZ302" t="s">
        <v>3</v>
      </c>
      <c r="EA302" t="s">
        <v>3</v>
      </c>
      <c r="EB302" t="s">
        <v>3</v>
      </c>
      <c r="EC302" t="s">
        <v>3</v>
      </c>
      <c r="EE302">
        <v>64850927</v>
      </c>
      <c r="EF302">
        <v>4</v>
      </c>
      <c r="EG302" t="s">
        <v>347</v>
      </c>
      <c r="EH302">
        <v>83</v>
      </c>
      <c r="EI302" t="s">
        <v>347</v>
      </c>
      <c r="EJ302">
        <v>4</v>
      </c>
      <c r="EK302">
        <v>200001</v>
      </c>
      <c r="EL302" t="s">
        <v>352</v>
      </c>
      <c r="EM302" t="s">
        <v>353</v>
      </c>
      <c r="EO302" t="s">
        <v>3</v>
      </c>
      <c r="EQ302">
        <v>0</v>
      </c>
      <c r="ER302">
        <v>0</v>
      </c>
      <c r="ES302">
        <v>0</v>
      </c>
      <c r="ET302">
        <v>0</v>
      </c>
      <c r="EU302">
        <v>0</v>
      </c>
      <c r="EV302">
        <v>0</v>
      </c>
      <c r="EW302">
        <v>1.62</v>
      </c>
      <c r="EX302">
        <v>0</v>
      </c>
      <c r="EY302">
        <v>0</v>
      </c>
      <c r="FQ302">
        <v>0</v>
      </c>
      <c r="FR302">
        <f t="shared" si="200"/>
        <v>0</v>
      </c>
      <c r="FS302">
        <v>0</v>
      </c>
      <c r="FX302">
        <v>74</v>
      </c>
      <c r="FY302">
        <v>36</v>
      </c>
      <c r="GA302" t="s">
        <v>3</v>
      </c>
      <c r="GD302">
        <v>1</v>
      </c>
      <c r="GF302">
        <v>-112771290</v>
      </c>
      <c r="GG302">
        <v>2</v>
      </c>
      <c r="GH302">
        <v>1</v>
      </c>
      <c r="GI302">
        <v>-2</v>
      </c>
      <c r="GJ302">
        <v>0</v>
      </c>
      <c r="GK302">
        <v>0</v>
      </c>
      <c r="GL302">
        <f t="shared" si="201"/>
        <v>0</v>
      </c>
      <c r="GM302">
        <f t="shared" si="202"/>
        <v>6693.35</v>
      </c>
      <c r="GN302">
        <f t="shared" si="203"/>
        <v>0</v>
      </c>
      <c r="GO302">
        <f t="shared" si="204"/>
        <v>0</v>
      </c>
      <c r="GP302">
        <f t="shared" si="205"/>
        <v>6693.35</v>
      </c>
      <c r="GR302">
        <v>0</v>
      </c>
      <c r="GS302">
        <v>0</v>
      </c>
      <c r="GT302">
        <v>0</v>
      </c>
      <c r="GU302" t="s">
        <v>3</v>
      </c>
      <c r="GV302">
        <f t="shared" si="206"/>
        <v>0</v>
      </c>
      <c r="GW302">
        <v>1</v>
      </c>
      <c r="GX302">
        <f t="shared" si="207"/>
        <v>0</v>
      </c>
      <c r="HA302">
        <v>0</v>
      </c>
      <c r="HB302">
        <v>0</v>
      </c>
      <c r="HC302">
        <f t="shared" si="208"/>
        <v>0</v>
      </c>
      <c r="HE302" t="s">
        <v>3</v>
      </c>
      <c r="HF302" t="s">
        <v>3</v>
      </c>
      <c r="HM302" t="s">
        <v>3</v>
      </c>
      <c r="HN302" t="s">
        <v>354</v>
      </c>
      <c r="HO302" t="s">
        <v>355</v>
      </c>
      <c r="HP302" t="s">
        <v>347</v>
      </c>
      <c r="HQ302" t="s">
        <v>347</v>
      </c>
      <c r="IK302">
        <v>0</v>
      </c>
    </row>
    <row r="303" spans="1:245" x14ac:dyDescent="0.2">
      <c r="A303">
        <v>17</v>
      </c>
      <c r="B303">
        <v>1</v>
      </c>
      <c r="C303">
        <f>ROW(SmtRes!A319)</f>
        <v>319</v>
      </c>
      <c r="D303">
        <f>ROW(EtalonRes!A328)</f>
        <v>328</v>
      </c>
      <c r="E303" t="s">
        <v>406</v>
      </c>
      <c r="F303" t="s">
        <v>407</v>
      </c>
      <c r="G303" t="s">
        <v>408</v>
      </c>
      <c r="H303" t="s">
        <v>363</v>
      </c>
      <c r="I303">
        <v>8</v>
      </c>
      <c r="J303">
        <v>0</v>
      </c>
      <c r="K303">
        <v>8</v>
      </c>
      <c r="O303">
        <f t="shared" si="184"/>
        <v>5212.96</v>
      </c>
      <c r="P303">
        <f>SUMIF(SmtRes!AQ318:'SmtRes'!AQ319,"=1",SmtRes!DF318:'SmtRes'!DF319)</f>
        <v>0</v>
      </c>
      <c r="Q303">
        <f>SUMIF(SmtRes!AQ318:'SmtRes'!AQ319,"=1",SmtRes!DG318:'SmtRes'!DG319)</f>
        <v>0</v>
      </c>
      <c r="R303">
        <f>SUMIF(SmtRes!AQ318:'SmtRes'!AQ319,"=1",SmtRes!DH318:'SmtRes'!DH319)</f>
        <v>0</v>
      </c>
      <c r="S303">
        <f>SUMIF(SmtRes!AQ318:'SmtRes'!AQ319,"=1",SmtRes!DI318:'SmtRes'!DI319)</f>
        <v>5212.96</v>
      </c>
      <c r="T303">
        <f t="shared" si="185"/>
        <v>0</v>
      </c>
      <c r="U303">
        <f>SUMIF(SmtRes!AQ318:'SmtRes'!AQ319,"=1",SmtRes!CV318:'SmtRes'!CV319)</f>
        <v>8</v>
      </c>
      <c r="V303">
        <f>SUMIF(SmtRes!AQ318:'SmtRes'!AQ319,"=1",SmtRes!CW318:'SmtRes'!CW319)</f>
        <v>0</v>
      </c>
      <c r="W303">
        <f t="shared" si="186"/>
        <v>0</v>
      </c>
      <c r="X303">
        <f t="shared" si="187"/>
        <v>3857.59</v>
      </c>
      <c r="Y303">
        <f t="shared" si="188"/>
        <v>1876.67</v>
      </c>
      <c r="AA303">
        <v>65170852</v>
      </c>
      <c r="AB303">
        <f t="shared" si="189"/>
        <v>651.62</v>
      </c>
      <c r="AC303">
        <f t="shared" si="190"/>
        <v>0</v>
      </c>
      <c r="AD303">
        <f t="shared" si="191"/>
        <v>0</v>
      </c>
      <c r="AE303">
        <f t="shared" si="192"/>
        <v>0</v>
      </c>
      <c r="AF303">
        <f>ROUND((SUM(SmtRes!BT318:'SmtRes'!BT319)),6)</f>
        <v>651.62</v>
      </c>
      <c r="AG303">
        <f t="shared" si="193"/>
        <v>0</v>
      </c>
      <c r="AH303">
        <f>(SUM(SmtRes!BU318:'SmtRes'!BU319))</f>
        <v>1</v>
      </c>
      <c r="AI303">
        <f>(0)</f>
        <v>0</v>
      </c>
      <c r="AJ303">
        <f t="shared" si="194"/>
        <v>0</v>
      </c>
      <c r="AK303">
        <v>651.62</v>
      </c>
      <c r="AL303">
        <v>0</v>
      </c>
      <c r="AM303">
        <v>0</v>
      </c>
      <c r="AN303">
        <v>0</v>
      </c>
      <c r="AO303">
        <v>651.62</v>
      </c>
      <c r="AP303">
        <v>0</v>
      </c>
      <c r="AQ303">
        <v>1</v>
      </c>
      <c r="AR303">
        <v>0</v>
      </c>
      <c r="AS303">
        <v>0</v>
      </c>
      <c r="AT303">
        <v>74</v>
      </c>
      <c r="AU303">
        <v>36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3</v>
      </c>
      <c r="BE303" t="s">
        <v>3</v>
      </c>
      <c r="BF303" t="s">
        <v>3</v>
      </c>
      <c r="BG303" t="s">
        <v>3</v>
      </c>
      <c r="BH303">
        <v>0</v>
      </c>
      <c r="BI303">
        <v>4</v>
      </c>
      <c r="BJ303" t="s">
        <v>409</v>
      </c>
      <c r="BM303">
        <v>200001</v>
      </c>
      <c r="BN303">
        <v>0</v>
      </c>
      <c r="BO303" t="s">
        <v>3</v>
      </c>
      <c r="BP303">
        <v>0</v>
      </c>
      <c r="BQ303">
        <v>4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3</v>
      </c>
      <c r="BZ303">
        <v>74</v>
      </c>
      <c r="CA303">
        <v>36</v>
      </c>
      <c r="CB303" t="s">
        <v>3</v>
      </c>
      <c r="CE303">
        <v>0</v>
      </c>
      <c r="CF303">
        <v>0</v>
      </c>
      <c r="CG303">
        <v>0</v>
      </c>
      <c r="CM303">
        <v>0</v>
      </c>
      <c r="CN303" t="s">
        <v>3</v>
      </c>
      <c r="CO303">
        <v>0</v>
      </c>
      <c r="CP303">
        <f t="shared" si="195"/>
        <v>5212.96</v>
      </c>
      <c r="CQ303">
        <f>SUMIF(SmtRes!AQ318:'SmtRes'!AQ319,"=1",SmtRes!AA318:'SmtRes'!AA319)</f>
        <v>0</v>
      </c>
      <c r="CR303">
        <f>SUMIF(SmtRes!AQ318:'SmtRes'!AQ319,"=1",SmtRes!AB318:'SmtRes'!AB319)</f>
        <v>0</v>
      </c>
      <c r="CS303">
        <f>SUMIF(SmtRes!AQ318:'SmtRes'!AQ319,"=1",SmtRes!AC318:'SmtRes'!AC319)</f>
        <v>0</v>
      </c>
      <c r="CT303">
        <f>SUMIF(SmtRes!AQ318:'SmtRes'!AQ319,"=1",SmtRes!AD318:'SmtRes'!AD319)</f>
        <v>1303.24</v>
      </c>
      <c r="CU303">
        <f t="shared" si="196"/>
        <v>0</v>
      </c>
      <c r="CV303">
        <f>SUMIF(SmtRes!AQ318:'SmtRes'!AQ319,"=1",SmtRes!BU318:'SmtRes'!BU319)</f>
        <v>1</v>
      </c>
      <c r="CW303">
        <f>SUMIF(SmtRes!AQ318:'SmtRes'!AQ319,"=1",SmtRes!BV318:'SmtRes'!BV319)</f>
        <v>0</v>
      </c>
      <c r="CX303">
        <f t="shared" si="197"/>
        <v>0</v>
      </c>
      <c r="CY303">
        <f t="shared" si="198"/>
        <v>3857.5903999999996</v>
      </c>
      <c r="CZ303">
        <f t="shared" si="199"/>
        <v>1876.6656</v>
      </c>
      <c r="DC303" t="s">
        <v>3</v>
      </c>
      <c r="DD303" t="s">
        <v>3</v>
      </c>
      <c r="DE303" t="s">
        <v>3</v>
      </c>
      <c r="DF303" t="s">
        <v>3</v>
      </c>
      <c r="DG303" t="s">
        <v>3</v>
      </c>
      <c r="DH303" t="s">
        <v>3</v>
      </c>
      <c r="DI303" t="s">
        <v>3</v>
      </c>
      <c r="DJ303" t="s">
        <v>3</v>
      </c>
      <c r="DK303" t="s">
        <v>3</v>
      </c>
      <c r="DL303" t="s">
        <v>3</v>
      </c>
      <c r="DM303" t="s">
        <v>3</v>
      </c>
      <c r="DN303">
        <v>0</v>
      </c>
      <c r="DO303">
        <v>0</v>
      </c>
      <c r="DP303">
        <v>1</v>
      </c>
      <c r="DQ303">
        <v>1</v>
      </c>
      <c r="DU303">
        <v>1013</v>
      </c>
      <c r="DV303" t="s">
        <v>363</v>
      </c>
      <c r="DW303" t="s">
        <v>363</v>
      </c>
      <c r="DX303">
        <v>1</v>
      </c>
      <c r="DZ303" t="s">
        <v>3</v>
      </c>
      <c r="EA303" t="s">
        <v>3</v>
      </c>
      <c r="EB303" t="s">
        <v>3</v>
      </c>
      <c r="EC303" t="s">
        <v>3</v>
      </c>
      <c r="EE303">
        <v>64850927</v>
      </c>
      <c r="EF303">
        <v>4</v>
      </c>
      <c r="EG303" t="s">
        <v>347</v>
      </c>
      <c r="EH303">
        <v>83</v>
      </c>
      <c r="EI303" t="s">
        <v>347</v>
      </c>
      <c r="EJ303">
        <v>4</v>
      </c>
      <c r="EK303">
        <v>200001</v>
      </c>
      <c r="EL303" t="s">
        <v>352</v>
      </c>
      <c r="EM303" t="s">
        <v>353</v>
      </c>
      <c r="EO303" t="s">
        <v>3</v>
      </c>
      <c r="EQ303">
        <v>0</v>
      </c>
      <c r="ER303">
        <v>0</v>
      </c>
      <c r="ES303">
        <v>0</v>
      </c>
      <c r="ET303">
        <v>0</v>
      </c>
      <c r="EU303">
        <v>0</v>
      </c>
      <c r="EV303">
        <v>0</v>
      </c>
      <c r="EW303">
        <v>1</v>
      </c>
      <c r="EX303">
        <v>0</v>
      </c>
      <c r="EY303">
        <v>0</v>
      </c>
      <c r="FQ303">
        <v>0</v>
      </c>
      <c r="FR303">
        <f t="shared" si="200"/>
        <v>0</v>
      </c>
      <c r="FS303">
        <v>0</v>
      </c>
      <c r="FX303">
        <v>74</v>
      </c>
      <c r="FY303">
        <v>36</v>
      </c>
      <c r="GA303" t="s">
        <v>3</v>
      </c>
      <c r="GD303">
        <v>1</v>
      </c>
      <c r="GF303">
        <v>586649101</v>
      </c>
      <c r="GG303">
        <v>2</v>
      </c>
      <c r="GH303">
        <v>1</v>
      </c>
      <c r="GI303">
        <v>-2</v>
      </c>
      <c r="GJ303">
        <v>0</v>
      </c>
      <c r="GK303">
        <v>0</v>
      </c>
      <c r="GL303">
        <f t="shared" si="201"/>
        <v>0</v>
      </c>
      <c r="GM303">
        <f t="shared" si="202"/>
        <v>10947.22</v>
      </c>
      <c r="GN303">
        <f t="shared" si="203"/>
        <v>0</v>
      </c>
      <c r="GO303">
        <f t="shared" si="204"/>
        <v>0</v>
      </c>
      <c r="GP303">
        <f t="shared" si="205"/>
        <v>10947.22</v>
      </c>
      <c r="GR303">
        <v>0</v>
      </c>
      <c r="GS303">
        <v>0</v>
      </c>
      <c r="GT303">
        <v>0</v>
      </c>
      <c r="GU303" t="s">
        <v>3</v>
      </c>
      <c r="GV303">
        <f t="shared" si="206"/>
        <v>0</v>
      </c>
      <c r="GW303">
        <v>1</v>
      </c>
      <c r="GX303">
        <f t="shared" si="207"/>
        <v>0</v>
      </c>
      <c r="HA303">
        <v>0</v>
      </c>
      <c r="HB303">
        <v>0</v>
      </c>
      <c r="HC303">
        <f t="shared" si="208"/>
        <v>0</v>
      </c>
      <c r="HE303" t="s">
        <v>3</v>
      </c>
      <c r="HF303" t="s">
        <v>3</v>
      </c>
      <c r="HM303" t="s">
        <v>3</v>
      </c>
      <c r="HN303" t="s">
        <v>354</v>
      </c>
      <c r="HO303" t="s">
        <v>355</v>
      </c>
      <c r="HP303" t="s">
        <v>347</v>
      </c>
      <c r="HQ303" t="s">
        <v>347</v>
      </c>
      <c r="IK303">
        <v>0</v>
      </c>
    </row>
    <row r="304" spans="1:245" x14ac:dyDescent="0.2">
      <c r="A304">
        <v>17</v>
      </c>
      <c r="B304">
        <v>1</v>
      </c>
      <c r="C304">
        <f>ROW(SmtRes!A321)</f>
        <v>321</v>
      </c>
      <c r="D304">
        <f>ROW(EtalonRes!A330)</f>
        <v>330</v>
      </c>
      <c r="E304" t="s">
        <v>410</v>
      </c>
      <c r="F304" t="s">
        <v>411</v>
      </c>
      <c r="G304" t="s">
        <v>412</v>
      </c>
      <c r="H304" t="s">
        <v>363</v>
      </c>
      <c r="I304">
        <v>8</v>
      </c>
      <c r="J304">
        <v>0</v>
      </c>
      <c r="K304">
        <v>8</v>
      </c>
      <c r="O304">
        <f t="shared" si="184"/>
        <v>8444.99</v>
      </c>
      <c r="P304">
        <f>SUMIF(SmtRes!AQ320:'SmtRes'!AQ321,"=1",SmtRes!DF320:'SmtRes'!DF321)</f>
        <v>0</v>
      </c>
      <c r="Q304">
        <f>SUMIF(SmtRes!AQ320:'SmtRes'!AQ321,"=1",SmtRes!DG320:'SmtRes'!DG321)</f>
        <v>0</v>
      </c>
      <c r="R304">
        <f>SUMIF(SmtRes!AQ320:'SmtRes'!AQ321,"=1",SmtRes!DH320:'SmtRes'!DH321)</f>
        <v>0</v>
      </c>
      <c r="S304">
        <f>SUMIF(SmtRes!AQ320:'SmtRes'!AQ321,"=1",SmtRes!DI320:'SmtRes'!DI321)</f>
        <v>8444.9900000000016</v>
      </c>
      <c r="T304">
        <f t="shared" si="185"/>
        <v>0</v>
      </c>
      <c r="U304">
        <f>SUMIF(SmtRes!AQ320:'SmtRes'!AQ321,"=1",SmtRes!CV320:'SmtRes'!CV321)</f>
        <v>12.96</v>
      </c>
      <c r="V304">
        <f>SUMIF(SmtRes!AQ320:'SmtRes'!AQ321,"=1",SmtRes!CW320:'SmtRes'!CW321)</f>
        <v>0</v>
      </c>
      <c r="W304">
        <f t="shared" si="186"/>
        <v>0</v>
      </c>
      <c r="X304">
        <f t="shared" si="187"/>
        <v>6249.29</v>
      </c>
      <c r="Y304">
        <f t="shared" si="188"/>
        <v>3040.2</v>
      </c>
      <c r="AA304">
        <v>65170852</v>
      </c>
      <c r="AB304">
        <f t="shared" si="189"/>
        <v>1055.6243999999999</v>
      </c>
      <c r="AC304">
        <f t="shared" si="190"/>
        <v>0</v>
      </c>
      <c r="AD304">
        <f t="shared" si="191"/>
        <v>0</v>
      </c>
      <c r="AE304">
        <f t="shared" si="192"/>
        <v>0</v>
      </c>
      <c r="AF304">
        <f>ROUND((SUM(SmtRes!BT320:'SmtRes'!BT321)),6)</f>
        <v>1055.6243999999999</v>
      </c>
      <c r="AG304">
        <f t="shared" si="193"/>
        <v>0</v>
      </c>
      <c r="AH304">
        <f>(SUM(SmtRes!BU320:'SmtRes'!BU321))</f>
        <v>1.62</v>
      </c>
      <c r="AI304">
        <f>(0)</f>
        <v>0</v>
      </c>
      <c r="AJ304">
        <f t="shared" si="194"/>
        <v>0</v>
      </c>
      <c r="AK304">
        <v>1055.6244000000002</v>
      </c>
      <c r="AL304">
        <v>0</v>
      </c>
      <c r="AM304">
        <v>0</v>
      </c>
      <c r="AN304">
        <v>0</v>
      </c>
      <c r="AO304">
        <v>1055.6244000000002</v>
      </c>
      <c r="AP304">
        <v>0</v>
      </c>
      <c r="AQ304">
        <v>1.62</v>
      </c>
      <c r="AR304">
        <v>0</v>
      </c>
      <c r="AS304">
        <v>0</v>
      </c>
      <c r="AT304">
        <v>74</v>
      </c>
      <c r="AU304">
        <v>36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4</v>
      </c>
      <c r="BJ304" t="s">
        <v>413</v>
      </c>
      <c r="BM304">
        <v>200001</v>
      </c>
      <c r="BN304">
        <v>0</v>
      </c>
      <c r="BO304" t="s">
        <v>3</v>
      </c>
      <c r="BP304">
        <v>0</v>
      </c>
      <c r="BQ304">
        <v>4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74</v>
      </c>
      <c r="CA304">
        <v>36</v>
      </c>
      <c r="CB304" t="s">
        <v>3</v>
      </c>
      <c r="CE304">
        <v>0</v>
      </c>
      <c r="CF304">
        <v>0</v>
      </c>
      <c r="CG304">
        <v>0</v>
      </c>
      <c r="CM304">
        <v>0</v>
      </c>
      <c r="CN304" t="s">
        <v>3</v>
      </c>
      <c r="CO304">
        <v>0</v>
      </c>
      <c r="CP304">
        <f t="shared" si="195"/>
        <v>8444.9900000000016</v>
      </c>
      <c r="CQ304">
        <f>SUMIF(SmtRes!AQ320:'SmtRes'!AQ321,"=1",SmtRes!AA320:'SmtRes'!AA321)</f>
        <v>0</v>
      </c>
      <c r="CR304">
        <f>SUMIF(SmtRes!AQ320:'SmtRes'!AQ321,"=1",SmtRes!AB320:'SmtRes'!AB321)</f>
        <v>0</v>
      </c>
      <c r="CS304">
        <f>SUMIF(SmtRes!AQ320:'SmtRes'!AQ321,"=1",SmtRes!AC320:'SmtRes'!AC321)</f>
        <v>0</v>
      </c>
      <c r="CT304">
        <f>SUMIF(SmtRes!AQ320:'SmtRes'!AQ321,"=1",SmtRes!AD320:'SmtRes'!AD321)</f>
        <v>1303.24</v>
      </c>
      <c r="CU304">
        <f t="shared" si="196"/>
        <v>0</v>
      </c>
      <c r="CV304">
        <f>SUMIF(SmtRes!AQ320:'SmtRes'!AQ321,"=1",SmtRes!BU320:'SmtRes'!BU321)</f>
        <v>1.62</v>
      </c>
      <c r="CW304">
        <f>SUMIF(SmtRes!AQ320:'SmtRes'!AQ321,"=1",SmtRes!BV320:'SmtRes'!BV321)</f>
        <v>0</v>
      </c>
      <c r="CX304">
        <f t="shared" si="197"/>
        <v>0</v>
      </c>
      <c r="CY304">
        <f t="shared" si="198"/>
        <v>6249.2926000000016</v>
      </c>
      <c r="CZ304">
        <f t="shared" si="199"/>
        <v>3040.1964000000007</v>
      </c>
      <c r="DC304" t="s">
        <v>3</v>
      </c>
      <c r="DD304" t="s">
        <v>3</v>
      </c>
      <c r="DE304" t="s">
        <v>3</v>
      </c>
      <c r="DF304" t="s">
        <v>3</v>
      </c>
      <c r="DG304" t="s">
        <v>3</v>
      </c>
      <c r="DH304" t="s">
        <v>3</v>
      </c>
      <c r="DI304" t="s">
        <v>3</v>
      </c>
      <c r="DJ304" t="s">
        <v>3</v>
      </c>
      <c r="DK304" t="s">
        <v>3</v>
      </c>
      <c r="DL304" t="s">
        <v>3</v>
      </c>
      <c r="DM304" t="s">
        <v>3</v>
      </c>
      <c r="DN304">
        <v>0</v>
      </c>
      <c r="DO304">
        <v>0</v>
      </c>
      <c r="DP304">
        <v>1</v>
      </c>
      <c r="DQ304">
        <v>1</v>
      </c>
      <c r="DU304">
        <v>1013</v>
      </c>
      <c r="DV304" t="s">
        <v>363</v>
      </c>
      <c r="DW304" t="s">
        <v>363</v>
      </c>
      <c r="DX304">
        <v>1</v>
      </c>
      <c r="DZ304" t="s">
        <v>3</v>
      </c>
      <c r="EA304" t="s">
        <v>3</v>
      </c>
      <c r="EB304" t="s">
        <v>3</v>
      </c>
      <c r="EC304" t="s">
        <v>3</v>
      </c>
      <c r="EE304">
        <v>64850927</v>
      </c>
      <c r="EF304">
        <v>4</v>
      </c>
      <c r="EG304" t="s">
        <v>347</v>
      </c>
      <c r="EH304">
        <v>83</v>
      </c>
      <c r="EI304" t="s">
        <v>347</v>
      </c>
      <c r="EJ304">
        <v>4</v>
      </c>
      <c r="EK304">
        <v>200001</v>
      </c>
      <c r="EL304" t="s">
        <v>352</v>
      </c>
      <c r="EM304" t="s">
        <v>353</v>
      </c>
      <c r="EO304" t="s">
        <v>3</v>
      </c>
      <c r="EQ304">
        <v>0</v>
      </c>
      <c r="ER304">
        <v>0</v>
      </c>
      <c r="ES304">
        <v>0</v>
      </c>
      <c r="ET304">
        <v>0</v>
      </c>
      <c r="EU304">
        <v>0</v>
      </c>
      <c r="EV304">
        <v>0</v>
      </c>
      <c r="EW304">
        <v>1.62</v>
      </c>
      <c r="EX304">
        <v>0</v>
      </c>
      <c r="EY304">
        <v>0</v>
      </c>
      <c r="FQ304">
        <v>0</v>
      </c>
      <c r="FR304">
        <f t="shared" si="200"/>
        <v>0</v>
      </c>
      <c r="FS304">
        <v>0</v>
      </c>
      <c r="FX304">
        <v>74</v>
      </c>
      <c r="FY304">
        <v>36</v>
      </c>
      <c r="GA304" t="s">
        <v>3</v>
      </c>
      <c r="GD304">
        <v>1</v>
      </c>
      <c r="GF304">
        <v>-1487754187</v>
      </c>
      <c r="GG304">
        <v>2</v>
      </c>
      <c r="GH304">
        <v>1</v>
      </c>
      <c r="GI304">
        <v>-2</v>
      </c>
      <c r="GJ304">
        <v>0</v>
      </c>
      <c r="GK304">
        <v>0</v>
      </c>
      <c r="GL304">
        <f t="shared" si="201"/>
        <v>0</v>
      </c>
      <c r="GM304">
        <f t="shared" si="202"/>
        <v>17734.48</v>
      </c>
      <c r="GN304">
        <f t="shared" si="203"/>
        <v>0</v>
      </c>
      <c r="GO304">
        <f t="shared" si="204"/>
        <v>0</v>
      </c>
      <c r="GP304">
        <f t="shared" si="205"/>
        <v>17734.48</v>
      </c>
      <c r="GR304">
        <v>0</v>
      </c>
      <c r="GS304">
        <v>0</v>
      </c>
      <c r="GT304">
        <v>0</v>
      </c>
      <c r="GU304" t="s">
        <v>3</v>
      </c>
      <c r="GV304">
        <f t="shared" si="206"/>
        <v>0</v>
      </c>
      <c r="GW304">
        <v>1</v>
      </c>
      <c r="GX304">
        <f t="shared" si="207"/>
        <v>0</v>
      </c>
      <c r="HA304">
        <v>0</v>
      </c>
      <c r="HB304">
        <v>0</v>
      </c>
      <c r="HC304">
        <f t="shared" si="208"/>
        <v>0</v>
      </c>
      <c r="HE304" t="s">
        <v>3</v>
      </c>
      <c r="HF304" t="s">
        <v>3</v>
      </c>
      <c r="HM304" t="s">
        <v>3</v>
      </c>
      <c r="HN304" t="s">
        <v>354</v>
      </c>
      <c r="HO304" t="s">
        <v>355</v>
      </c>
      <c r="HP304" t="s">
        <v>347</v>
      </c>
      <c r="HQ304" t="s">
        <v>347</v>
      </c>
      <c r="IK304">
        <v>0</v>
      </c>
    </row>
    <row r="305" spans="1:245" x14ac:dyDescent="0.2">
      <c r="A305">
        <v>17</v>
      </c>
      <c r="B305">
        <v>1</v>
      </c>
      <c r="C305">
        <f>ROW(SmtRes!A323)</f>
        <v>323</v>
      </c>
      <c r="D305">
        <f>ROW(EtalonRes!A332)</f>
        <v>332</v>
      </c>
      <c r="E305" t="s">
        <v>414</v>
      </c>
      <c r="F305" t="s">
        <v>415</v>
      </c>
      <c r="G305" t="s">
        <v>416</v>
      </c>
      <c r="H305" t="s">
        <v>417</v>
      </c>
      <c r="I305">
        <f>ROUND(8/100,7)</f>
        <v>0.08</v>
      </c>
      <c r="J305">
        <v>0</v>
      </c>
      <c r="K305">
        <f>ROUND(8/100,7)</f>
        <v>0.08</v>
      </c>
      <c r="O305">
        <f t="shared" si="184"/>
        <v>675.6</v>
      </c>
      <c r="P305">
        <f>SUMIF(SmtRes!AQ322:'SmtRes'!AQ323,"=1",SmtRes!DF322:'SmtRes'!DF323)</f>
        <v>0</v>
      </c>
      <c r="Q305">
        <f>SUMIF(SmtRes!AQ322:'SmtRes'!AQ323,"=1",SmtRes!DG322:'SmtRes'!DG323)</f>
        <v>0</v>
      </c>
      <c r="R305">
        <f>SUMIF(SmtRes!AQ322:'SmtRes'!AQ323,"=1",SmtRes!DH322:'SmtRes'!DH323)</f>
        <v>0</v>
      </c>
      <c r="S305">
        <f>SUMIF(SmtRes!AQ322:'SmtRes'!AQ323,"=1",SmtRes!DI322:'SmtRes'!DI323)</f>
        <v>675.59999999999991</v>
      </c>
      <c r="T305">
        <f t="shared" si="185"/>
        <v>0</v>
      </c>
      <c r="U305">
        <f>SUMIF(SmtRes!AQ322:'SmtRes'!AQ323,"=1",SmtRes!CV322:'SmtRes'!CV323)</f>
        <v>1.0367999999999999</v>
      </c>
      <c r="V305">
        <f>SUMIF(SmtRes!AQ322:'SmtRes'!AQ323,"=1",SmtRes!CW322:'SmtRes'!CW323)</f>
        <v>0</v>
      </c>
      <c r="W305">
        <f t="shared" si="186"/>
        <v>0</v>
      </c>
      <c r="X305">
        <f t="shared" si="187"/>
        <v>499.94</v>
      </c>
      <c r="Y305">
        <f t="shared" si="188"/>
        <v>243.22</v>
      </c>
      <c r="AA305">
        <v>65170852</v>
      </c>
      <c r="AB305">
        <f t="shared" si="189"/>
        <v>8444.9951999999994</v>
      </c>
      <c r="AC305">
        <f t="shared" si="190"/>
        <v>0</v>
      </c>
      <c r="AD305">
        <f t="shared" si="191"/>
        <v>0</v>
      </c>
      <c r="AE305">
        <f t="shared" si="192"/>
        <v>0</v>
      </c>
      <c r="AF305">
        <f>ROUND((SUM(SmtRes!BT322:'SmtRes'!BT323)),6)</f>
        <v>8444.9951999999994</v>
      </c>
      <c r="AG305">
        <f t="shared" si="193"/>
        <v>0</v>
      </c>
      <c r="AH305">
        <f>(SUM(SmtRes!BU322:'SmtRes'!BU323))</f>
        <v>12.96</v>
      </c>
      <c r="AI305">
        <f>(0)</f>
        <v>0</v>
      </c>
      <c r="AJ305">
        <f t="shared" si="194"/>
        <v>0</v>
      </c>
      <c r="AK305">
        <v>8444.9952000000012</v>
      </c>
      <c r="AL305">
        <v>0</v>
      </c>
      <c r="AM305">
        <v>0</v>
      </c>
      <c r="AN305">
        <v>0</v>
      </c>
      <c r="AO305">
        <v>8444.9952000000012</v>
      </c>
      <c r="AP305">
        <v>0</v>
      </c>
      <c r="AQ305">
        <v>12.96</v>
      </c>
      <c r="AR305">
        <v>0</v>
      </c>
      <c r="AS305">
        <v>0</v>
      </c>
      <c r="AT305">
        <v>74</v>
      </c>
      <c r="AU305">
        <v>36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4</v>
      </c>
      <c r="BJ305" t="s">
        <v>418</v>
      </c>
      <c r="BM305">
        <v>200001</v>
      </c>
      <c r="BN305">
        <v>0</v>
      </c>
      <c r="BO305" t="s">
        <v>3</v>
      </c>
      <c r="BP305">
        <v>0</v>
      </c>
      <c r="BQ305">
        <v>4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74</v>
      </c>
      <c r="CA305">
        <v>36</v>
      </c>
      <c r="CB305" t="s">
        <v>3</v>
      </c>
      <c r="CE305">
        <v>0</v>
      </c>
      <c r="CF305">
        <v>0</v>
      </c>
      <c r="CG305">
        <v>0</v>
      </c>
      <c r="CM305">
        <v>0</v>
      </c>
      <c r="CN305" t="s">
        <v>3</v>
      </c>
      <c r="CO305">
        <v>0</v>
      </c>
      <c r="CP305">
        <f t="shared" si="195"/>
        <v>675.59999999999991</v>
      </c>
      <c r="CQ305">
        <f>SUMIF(SmtRes!AQ322:'SmtRes'!AQ323,"=1",SmtRes!AA322:'SmtRes'!AA323)</f>
        <v>0</v>
      </c>
      <c r="CR305">
        <f>SUMIF(SmtRes!AQ322:'SmtRes'!AQ323,"=1",SmtRes!AB322:'SmtRes'!AB323)</f>
        <v>0</v>
      </c>
      <c r="CS305">
        <f>SUMIF(SmtRes!AQ322:'SmtRes'!AQ323,"=1",SmtRes!AC322:'SmtRes'!AC323)</f>
        <v>0</v>
      </c>
      <c r="CT305">
        <f>SUMIF(SmtRes!AQ322:'SmtRes'!AQ323,"=1",SmtRes!AD322:'SmtRes'!AD323)</f>
        <v>1303.24</v>
      </c>
      <c r="CU305">
        <f t="shared" si="196"/>
        <v>0</v>
      </c>
      <c r="CV305">
        <f>SUMIF(SmtRes!AQ322:'SmtRes'!AQ323,"=1",SmtRes!BU322:'SmtRes'!BU323)</f>
        <v>12.96</v>
      </c>
      <c r="CW305">
        <f>SUMIF(SmtRes!AQ322:'SmtRes'!AQ323,"=1",SmtRes!BV322:'SmtRes'!BV323)</f>
        <v>0</v>
      </c>
      <c r="CX305">
        <f t="shared" si="197"/>
        <v>0</v>
      </c>
      <c r="CY305">
        <f t="shared" si="198"/>
        <v>499.94399999999996</v>
      </c>
      <c r="CZ305">
        <f t="shared" si="199"/>
        <v>243.21599999999998</v>
      </c>
      <c r="DC305" t="s">
        <v>3</v>
      </c>
      <c r="DD305" t="s">
        <v>3</v>
      </c>
      <c r="DE305" t="s">
        <v>3</v>
      </c>
      <c r="DF305" t="s">
        <v>3</v>
      </c>
      <c r="DG305" t="s">
        <v>3</v>
      </c>
      <c r="DH305" t="s">
        <v>3</v>
      </c>
      <c r="DI305" t="s">
        <v>3</v>
      </c>
      <c r="DJ305" t="s">
        <v>3</v>
      </c>
      <c r="DK305" t="s">
        <v>3</v>
      </c>
      <c r="DL305" t="s">
        <v>3</v>
      </c>
      <c r="DM305" t="s">
        <v>3</v>
      </c>
      <c r="DN305">
        <v>0</v>
      </c>
      <c r="DO305">
        <v>0</v>
      </c>
      <c r="DP305">
        <v>1</v>
      </c>
      <c r="DQ305">
        <v>1</v>
      </c>
      <c r="DU305">
        <v>1013</v>
      </c>
      <c r="DV305" t="s">
        <v>417</v>
      </c>
      <c r="DW305" t="s">
        <v>417</v>
      </c>
      <c r="DX305">
        <v>1</v>
      </c>
      <c r="DZ305" t="s">
        <v>3</v>
      </c>
      <c r="EA305" t="s">
        <v>3</v>
      </c>
      <c r="EB305" t="s">
        <v>3</v>
      </c>
      <c r="EC305" t="s">
        <v>3</v>
      </c>
      <c r="EE305">
        <v>64850927</v>
      </c>
      <c r="EF305">
        <v>4</v>
      </c>
      <c r="EG305" t="s">
        <v>347</v>
      </c>
      <c r="EH305">
        <v>83</v>
      </c>
      <c r="EI305" t="s">
        <v>347</v>
      </c>
      <c r="EJ305">
        <v>4</v>
      </c>
      <c r="EK305">
        <v>200001</v>
      </c>
      <c r="EL305" t="s">
        <v>352</v>
      </c>
      <c r="EM305" t="s">
        <v>353</v>
      </c>
      <c r="EO305" t="s">
        <v>3</v>
      </c>
      <c r="EQ305">
        <v>0</v>
      </c>
      <c r="ER305">
        <v>0</v>
      </c>
      <c r="ES305">
        <v>0</v>
      </c>
      <c r="ET305">
        <v>0</v>
      </c>
      <c r="EU305">
        <v>0</v>
      </c>
      <c r="EV305">
        <v>0</v>
      </c>
      <c r="EW305">
        <v>12.96</v>
      </c>
      <c r="EX305">
        <v>0</v>
      </c>
      <c r="EY305">
        <v>0</v>
      </c>
      <c r="FQ305">
        <v>0</v>
      </c>
      <c r="FR305">
        <f t="shared" si="200"/>
        <v>0</v>
      </c>
      <c r="FS305">
        <v>0</v>
      </c>
      <c r="FX305">
        <v>74</v>
      </c>
      <c r="FY305">
        <v>36</v>
      </c>
      <c r="GA305" t="s">
        <v>3</v>
      </c>
      <c r="GD305">
        <v>1</v>
      </c>
      <c r="GF305">
        <v>416936062</v>
      </c>
      <c r="GG305">
        <v>2</v>
      </c>
      <c r="GH305">
        <v>1</v>
      </c>
      <c r="GI305">
        <v>-2</v>
      </c>
      <c r="GJ305">
        <v>0</v>
      </c>
      <c r="GK305">
        <v>0</v>
      </c>
      <c r="GL305">
        <f t="shared" si="201"/>
        <v>0</v>
      </c>
      <c r="GM305">
        <f t="shared" si="202"/>
        <v>1418.76</v>
      </c>
      <c r="GN305">
        <f t="shared" si="203"/>
        <v>0</v>
      </c>
      <c r="GO305">
        <f t="shared" si="204"/>
        <v>0</v>
      </c>
      <c r="GP305">
        <f t="shared" si="205"/>
        <v>1418.76</v>
      </c>
      <c r="GR305">
        <v>0</v>
      </c>
      <c r="GS305">
        <v>0</v>
      </c>
      <c r="GT305">
        <v>0</v>
      </c>
      <c r="GU305" t="s">
        <v>3</v>
      </c>
      <c r="GV305">
        <f t="shared" si="206"/>
        <v>0</v>
      </c>
      <c r="GW305">
        <v>1</v>
      </c>
      <c r="GX305">
        <f t="shared" si="207"/>
        <v>0</v>
      </c>
      <c r="HA305">
        <v>0</v>
      </c>
      <c r="HB305">
        <v>0</v>
      </c>
      <c r="HC305">
        <f t="shared" si="208"/>
        <v>0</v>
      </c>
      <c r="HE305" t="s">
        <v>3</v>
      </c>
      <c r="HF305" t="s">
        <v>3</v>
      </c>
      <c r="HM305" t="s">
        <v>3</v>
      </c>
      <c r="HN305" t="s">
        <v>354</v>
      </c>
      <c r="HO305" t="s">
        <v>355</v>
      </c>
      <c r="HP305" t="s">
        <v>347</v>
      </c>
      <c r="HQ305" t="s">
        <v>347</v>
      </c>
      <c r="IK305">
        <v>0</v>
      </c>
    </row>
    <row r="306" spans="1:245" x14ac:dyDescent="0.2">
      <c r="A306">
        <v>17</v>
      </c>
      <c r="B306">
        <v>1</v>
      </c>
      <c r="C306">
        <f>ROW(SmtRes!A325)</f>
        <v>325</v>
      </c>
      <c r="D306">
        <f>ROW(EtalonRes!A334)</f>
        <v>334</v>
      </c>
      <c r="E306" t="s">
        <v>419</v>
      </c>
      <c r="F306" t="s">
        <v>420</v>
      </c>
      <c r="G306" t="s">
        <v>421</v>
      </c>
      <c r="H306" t="s">
        <v>363</v>
      </c>
      <c r="I306">
        <v>8</v>
      </c>
      <c r="J306">
        <v>0</v>
      </c>
      <c r="K306">
        <v>8</v>
      </c>
      <c r="O306">
        <f t="shared" si="184"/>
        <v>16889.990000000002</v>
      </c>
      <c r="P306">
        <f>SUMIF(SmtRes!AQ324:'SmtRes'!AQ325,"=1",SmtRes!DF324:'SmtRes'!DF325)</f>
        <v>0</v>
      </c>
      <c r="Q306">
        <f>SUMIF(SmtRes!AQ324:'SmtRes'!AQ325,"=1",SmtRes!DG324:'SmtRes'!DG325)</f>
        <v>0</v>
      </c>
      <c r="R306">
        <f>SUMIF(SmtRes!AQ324:'SmtRes'!AQ325,"=1",SmtRes!DH324:'SmtRes'!DH325)</f>
        <v>0</v>
      </c>
      <c r="S306">
        <f>SUMIF(SmtRes!AQ324:'SmtRes'!AQ325,"=1",SmtRes!DI324:'SmtRes'!DI325)</f>
        <v>16889.989999999998</v>
      </c>
      <c r="T306">
        <f t="shared" si="185"/>
        <v>0</v>
      </c>
      <c r="U306">
        <f>SUMIF(SmtRes!AQ324:'SmtRes'!AQ325,"=1",SmtRes!CV324:'SmtRes'!CV325)</f>
        <v>25.92</v>
      </c>
      <c r="V306">
        <f>SUMIF(SmtRes!AQ324:'SmtRes'!AQ325,"=1",SmtRes!CW324:'SmtRes'!CW325)</f>
        <v>0</v>
      </c>
      <c r="W306">
        <f t="shared" si="186"/>
        <v>0</v>
      </c>
      <c r="X306">
        <f t="shared" si="187"/>
        <v>12498.59</v>
      </c>
      <c r="Y306">
        <f t="shared" si="188"/>
        <v>6080.4</v>
      </c>
      <c r="AA306">
        <v>65170852</v>
      </c>
      <c r="AB306">
        <f t="shared" si="189"/>
        <v>2111.2487999999998</v>
      </c>
      <c r="AC306">
        <f t="shared" si="190"/>
        <v>0</v>
      </c>
      <c r="AD306">
        <f t="shared" si="191"/>
        <v>0</v>
      </c>
      <c r="AE306">
        <f t="shared" si="192"/>
        <v>0</v>
      </c>
      <c r="AF306">
        <f>ROUND((SUM(SmtRes!BT324:'SmtRes'!BT325)),6)</f>
        <v>2111.2487999999998</v>
      </c>
      <c r="AG306">
        <f t="shared" si="193"/>
        <v>0</v>
      </c>
      <c r="AH306">
        <f>(SUM(SmtRes!BU324:'SmtRes'!BU325))</f>
        <v>3.24</v>
      </c>
      <c r="AI306">
        <f>(0)</f>
        <v>0</v>
      </c>
      <c r="AJ306">
        <f t="shared" si="194"/>
        <v>0</v>
      </c>
      <c r="AK306">
        <v>2111.2488000000003</v>
      </c>
      <c r="AL306">
        <v>0</v>
      </c>
      <c r="AM306">
        <v>0</v>
      </c>
      <c r="AN306">
        <v>0</v>
      </c>
      <c r="AO306">
        <v>2111.2488000000003</v>
      </c>
      <c r="AP306">
        <v>0</v>
      </c>
      <c r="AQ306">
        <v>3.24</v>
      </c>
      <c r="AR306">
        <v>0</v>
      </c>
      <c r="AS306">
        <v>0</v>
      </c>
      <c r="AT306">
        <v>74</v>
      </c>
      <c r="AU306">
        <v>36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4</v>
      </c>
      <c r="BJ306" t="s">
        <v>422</v>
      </c>
      <c r="BM306">
        <v>200001</v>
      </c>
      <c r="BN306">
        <v>0</v>
      </c>
      <c r="BO306" t="s">
        <v>3</v>
      </c>
      <c r="BP306">
        <v>0</v>
      </c>
      <c r="BQ306">
        <v>4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74</v>
      </c>
      <c r="CA306">
        <v>36</v>
      </c>
      <c r="CB306" t="s">
        <v>3</v>
      </c>
      <c r="CE306">
        <v>0</v>
      </c>
      <c r="CF306">
        <v>0</v>
      </c>
      <c r="CG306">
        <v>0</v>
      </c>
      <c r="CM306">
        <v>0</v>
      </c>
      <c r="CN306" t="s">
        <v>3</v>
      </c>
      <c r="CO306">
        <v>0</v>
      </c>
      <c r="CP306">
        <f t="shared" si="195"/>
        <v>16889.989999999998</v>
      </c>
      <c r="CQ306">
        <f>SUMIF(SmtRes!AQ324:'SmtRes'!AQ325,"=1",SmtRes!AA324:'SmtRes'!AA325)</f>
        <v>0</v>
      </c>
      <c r="CR306">
        <f>SUMIF(SmtRes!AQ324:'SmtRes'!AQ325,"=1",SmtRes!AB324:'SmtRes'!AB325)</f>
        <v>0</v>
      </c>
      <c r="CS306">
        <f>SUMIF(SmtRes!AQ324:'SmtRes'!AQ325,"=1",SmtRes!AC324:'SmtRes'!AC325)</f>
        <v>0</v>
      </c>
      <c r="CT306">
        <f>SUMIF(SmtRes!AQ324:'SmtRes'!AQ325,"=1",SmtRes!AD324:'SmtRes'!AD325)</f>
        <v>1303.24</v>
      </c>
      <c r="CU306">
        <f t="shared" si="196"/>
        <v>0</v>
      </c>
      <c r="CV306">
        <f>SUMIF(SmtRes!AQ324:'SmtRes'!AQ325,"=1",SmtRes!BU324:'SmtRes'!BU325)</f>
        <v>3.24</v>
      </c>
      <c r="CW306">
        <f>SUMIF(SmtRes!AQ324:'SmtRes'!AQ325,"=1",SmtRes!BV324:'SmtRes'!BV325)</f>
        <v>0</v>
      </c>
      <c r="CX306">
        <f t="shared" si="197"/>
        <v>0</v>
      </c>
      <c r="CY306">
        <f t="shared" si="198"/>
        <v>12498.592599999998</v>
      </c>
      <c r="CZ306">
        <f t="shared" si="199"/>
        <v>6080.3963999999987</v>
      </c>
      <c r="DC306" t="s">
        <v>3</v>
      </c>
      <c r="DD306" t="s">
        <v>3</v>
      </c>
      <c r="DE306" t="s">
        <v>3</v>
      </c>
      <c r="DF306" t="s">
        <v>3</v>
      </c>
      <c r="DG306" t="s">
        <v>3</v>
      </c>
      <c r="DH306" t="s">
        <v>3</v>
      </c>
      <c r="DI306" t="s">
        <v>3</v>
      </c>
      <c r="DJ306" t="s">
        <v>3</v>
      </c>
      <c r="DK306" t="s">
        <v>3</v>
      </c>
      <c r="DL306" t="s">
        <v>3</v>
      </c>
      <c r="DM306" t="s">
        <v>3</v>
      </c>
      <c r="DN306">
        <v>0</v>
      </c>
      <c r="DO306">
        <v>0</v>
      </c>
      <c r="DP306">
        <v>1</v>
      </c>
      <c r="DQ306">
        <v>1</v>
      </c>
      <c r="DU306">
        <v>1013</v>
      </c>
      <c r="DV306" t="s">
        <v>363</v>
      </c>
      <c r="DW306" t="s">
        <v>363</v>
      </c>
      <c r="DX306">
        <v>1</v>
      </c>
      <c r="DZ306" t="s">
        <v>3</v>
      </c>
      <c r="EA306" t="s">
        <v>3</v>
      </c>
      <c r="EB306" t="s">
        <v>3</v>
      </c>
      <c r="EC306" t="s">
        <v>3</v>
      </c>
      <c r="EE306">
        <v>64850927</v>
      </c>
      <c r="EF306">
        <v>4</v>
      </c>
      <c r="EG306" t="s">
        <v>347</v>
      </c>
      <c r="EH306">
        <v>83</v>
      </c>
      <c r="EI306" t="s">
        <v>347</v>
      </c>
      <c r="EJ306">
        <v>4</v>
      </c>
      <c r="EK306">
        <v>200001</v>
      </c>
      <c r="EL306" t="s">
        <v>352</v>
      </c>
      <c r="EM306" t="s">
        <v>353</v>
      </c>
      <c r="EO306" t="s">
        <v>3</v>
      </c>
      <c r="EQ306">
        <v>0</v>
      </c>
      <c r="ER306">
        <v>0</v>
      </c>
      <c r="ES306">
        <v>0</v>
      </c>
      <c r="ET306">
        <v>0</v>
      </c>
      <c r="EU306">
        <v>0</v>
      </c>
      <c r="EV306">
        <v>0</v>
      </c>
      <c r="EW306">
        <v>3.24</v>
      </c>
      <c r="EX306">
        <v>0</v>
      </c>
      <c r="EY306">
        <v>0</v>
      </c>
      <c r="FQ306">
        <v>0</v>
      </c>
      <c r="FR306">
        <f t="shared" si="200"/>
        <v>0</v>
      </c>
      <c r="FS306">
        <v>0</v>
      </c>
      <c r="FX306">
        <v>74</v>
      </c>
      <c r="FY306">
        <v>36</v>
      </c>
      <c r="GA306" t="s">
        <v>3</v>
      </c>
      <c r="GD306">
        <v>1</v>
      </c>
      <c r="GF306">
        <v>323254439</v>
      </c>
      <c r="GG306">
        <v>2</v>
      </c>
      <c r="GH306">
        <v>1</v>
      </c>
      <c r="GI306">
        <v>-2</v>
      </c>
      <c r="GJ306">
        <v>0</v>
      </c>
      <c r="GK306">
        <v>0</v>
      </c>
      <c r="GL306">
        <f t="shared" si="201"/>
        <v>0</v>
      </c>
      <c r="GM306">
        <f t="shared" si="202"/>
        <v>35468.980000000003</v>
      </c>
      <c r="GN306">
        <f t="shared" si="203"/>
        <v>0</v>
      </c>
      <c r="GO306">
        <f t="shared" si="204"/>
        <v>0</v>
      </c>
      <c r="GP306">
        <f t="shared" si="205"/>
        <v>35468.980000000003</v>
      </c>
      <c r="GR306">
        <v>0</v>
      </c>
      <c r="GS306">
        <v>0</v>
      </c>
      <c r="GT306">
        <v>0</v>
      </c>
      <c r="GU306" t="s">
        <v>3</v>
      </c>
      <c r="GV306">
        <f t="shared" si="206"/>
        <v>0</v>
      </c>
      <c r="GW306">
        <v>1</v>
      </c>
      <c r="GX306">
        <f t="shared" si="207"/>
        <v>0</v>
      </c>
      <c r="HA306">
        <v>0</v>
      </c>
      <c r="HB306">
        <v>0</v>
      </c>
      <c r="HC306">
        <f t="shared" si="208"/>
        <v>0</v>
      </c>
      <c r="HE306" t="s">
        <v>3</v>
      </c>
      <c r="HF306" t="s">
        <v>3</v>
      </c>
      <c r="HM306" t="s">
        <v>3</v>
      </c>
      <c r="HN306" t="s">
        <v>354</v>
      </c>
      <c r="HO306" t="s">
        <v>355</v>
      </c>
      <c r="HP306" t="s">
        <v>347</v>
      </c>
      <c r="HQ306" t="s">
        <v>347</v>
      </c>
      <c r="IK306">
        <v>0</v>
      </c>
    </row>
    <row r="308" spans="1:245" x14ac:dyDescent="0.2">
      <c r="A308" s="2">
        <v>51</v>
      </c>
      <c r="B308" s="2">
        <f>B286</f>
        <v>1</v>
      </c>
      <c r="C308" s="2">
        <f>A286</f>
        <v>4</v>
      </c>
      <c r="D308" s="2">
        <f>ROW(A286)</f>
        <v>286</v>
      </c>
      <c r="E308" s="2"/>
      <c r="F308" s="2" t="str">
        <f>IF(F286&lt;&gt;"",F286,"")</f>
        <v>Новый раздел</v>
      </c>
      <c r="G308" s="2" t="str">
        <f>IF(G286&lt;&gt;"",G286,"")</f>
        <v>Пусконаладочные работы</v>
      </c>
      <c r="H308" s="2">
        <v>0</v>
      </c>
      <c r="I308" s="2"/>
      <c r="J308" s="2"/>
      <c r="K308" s="2"/>
      <c r="L308" s="2"/>
      <c r="M308" s="2"/>
      <c r="N308" s="2"/>
      <c r="O308" s="2">
        <f t="shared" ref="O308:T308" si="209">ROUND(AB308,2)</f>
        <v>102056.87</v>
      </c>
      <c r="P308" s="2">
        <f t="shared" si="209"/>
        <v>0</v>
      </c>
      <c r="Q308" s="2">
        <f t="shared" si="209"/>
        <v>0</v>
      </c>
      <c r="R308" s="2">
        <f t="shared" si="209"/>
        <v>0</v>
      </c>
      <c r="S308" s="2">
        <f t="shared" si="209"/>
        <v>102056.87</v>
      </c>
      <c r="T308" s="2">
        <f t="shared" si="209"/>
        <v>0</v>
      </c>
      <c r="U308" s="2">
        <f>AH308</f>
        <v>162.74680000000001</v>
      </c>
      <c r="V308" s="2">
        <f>AI308</f>
        <v>0</v>
      </c>
      <c r="W308" s="2">
        <f>ROUND(AJ308,2)</f>
        <v>0</v>
      </c>
      <c r="X308" s="2">
        <f>ROUND(AK308,2)</f>
        <v>75522.09</v>
      </c>
      <c r="Y308" s="2">
        <f>ROUND(AL308,2)</f>
        <v>36740.480000000003</v>
      </c>
      <c r="Z308" s="2"/>
      <c r="AA308" s="2"/>
      <c r="AB308" s="2">
        <f>ROUND(SUMIF(AA290:AA306,"=65170852",O290:O306),2)</f>
        <v>102056.87</v>
      </c>
      <c r="AC308" s="2">
        <f>ROUND(SUMIF(AA290:AA306,"=65170852",P290:P306),2)</f>
        <v>0</v>
      </c>
      <c r="AD308" s="2">
        <f>ROUND(SUMIF(AA290:AA306,"=65170852",Q290:Q306),2)</f>
        <v>0</v>
      </c>
      <c r="AE308" s="2">
        <f>ROUND(SUMIF(AA290:AA306,"=65170852",R290:R306),2)</f>
        <v>0</v>
      </c>
      <c r="AF308" s="2">
        <f>ROUND(SUMIF(AA290:AA306,"=65170852",S290:S306),2)</f>
        <v>102056.87</v>
      </c>
      <c r="AG308" s="2">
        <f>ROUND(SUMIF(AA290:AA306,"=65170852",T290:T306),2)</f>
        <v>0</v>
      </c>
      <c r="AH308" s="2">
        <f>SUMIF(AA290:AA306,"=65170852",U290:U306)</f>
        <v>162.74680000000001</v>
      </c>
      <c r="AI308" s="2">
        <f>SUMIF(AA290:AA306,"=65170852",V290:V306)</f>
        <v>0</v>
      </c>
      <c r="AJ308" s="2">
        <f>ROUND(SUMIF(AA290:AA306,"=65170852",W290:W306),2)</f>
        <v>0</v>
      </c>
      <c r="AK308" s="2">
        <f>ROUND(SUMIF(AA290:AA306,"=65170852",X290:X306),2)</f>
        <v>75522.09</v>
      </c>
      <c r="AL308" s="2">
        <f>ROUND(SUMIF(AA290:AA306,"=65170852",Y290:Y306),2)</f>
        <v>36740.480000000003</v>
      </c>
      <c r="AM308" s="2"/>
      <c r="AN308" s="2"/>
      <c r="AO308" s="2">
        <f t="shared" ref="AO308:BD308" si="210">ROUND(BX308,2)</f>
        <v>0</v>
      </c>
      <c r="AP308" s="2">
        <f t="shared" si="210"/>
        <v>0</v>
      </c>
      <c r="AQ308" s="2">
        <f t="shared" si="210"/>
        <v>0</v>
      </c>
      <c r="AR308" s="2">
        <f t="shared" si="210"/>
        <v>214319.44</v>
      </c>
      <c r="AS308" s="2">
        <f t="shared" si="210"/>
        <v>0</v>
      </c>
      <c r="AT308" s="2">
        <f t="shared" si="210"/>
        <v>0</v>
      </c>
      <c r="AU308" s="2">
        <f t="shared" si="210"/>
        <v>214319.44</v>
      </c>
      <c r="AV308" s="2">
        <f t="shared" si="210"/>
        <v>0</v>
      </c>
      <c r="AW308" s="2">
        <f t="shared" si="210"/>
        <v>0</v>
      </c>
      <c r="AX308" s="2">
        <f t="shared" si="210"/>
        <v>0</v>
      </c>
      <c r="AY308" s="2">
        <f t="shared" si="210"/>
        <v>0</v>
      </c>
      <c r="AZ308" s="2">
        <f t="shared" si="210"/>
        <v>0</v>
      </c>
      <c r="BA308" s="2">
        <f t="shared" si="210"/>
        <v>0</v>
      </c>
      <c r="BB308" s="2">
        <f t="shared" si="210"/>
        <v>0</v>
      </c>
      <c r="BC308" s="2">
        <f t="shared" si="210"/>
        <v>0</v>
      </c>
      <c r="BD308" s="2">
        <f t="shared" si="210"/>
        <v>0</v>
      </c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>
        <f>ROUND(SUMIF(AA290:AA306,"=65170852",FQ290:FQ306),2)</f>
        <v>0</v>
      </c>
      <c r="BY308" s="2">
        <f>ROUND(SUMIF(AA290:AA306,"=65170852",FR290:FR306),2)</f>
        <v>0</v>
      </c>
      <c r="BZ308" s="2">
        <f>ROUND(SUMIF(AA290:AA306,"=65170852",GL290:GL306),2)</f>
        <v>0</v>
      </c>
      <c r="CA308" s="2">
        <f>ROUND(SUMIF(AA290:AA306,"=65170852",GM290:GM306),2)</f>
        <v>214319.44</v>
      </c>
      <c r="CB308" s="2">
        <f>ROUND(SUMIF(AA290:AA306,"=65170852",GN290:GN306),2)</f>
        <v>0</v>
      </c>
      <c r="CC308" s="2">
        <f>ROUND(SUMIF(AA290:AA306,"=65170852",GO290:GO306),2)</f>
        <v>0</v>
      </c>
      <c r="CD308" s="2">
        <f>ROUND(SUMIF(AA290:AA306,"=65170852",GP290:GP306),2)</f>
        <v>214319.44</v>
      </c>
      <c r="CE308" s="2">
        <f>AC308-BX308</f>
        <v>0</v>
      </c>
      <c r="CF308" s="2">
        <f>AC308-BY308</f>
        <v>0</v>
      </c>
      <c r="CG308" s="2">
        <f>BX308-BZ308</f>
        <v>0</v>
      </c>
      <c r="CH308" s="2">
        <f>AC308-BX308-BY308+BZ308</f>
        <v>0</v>
      </c>
      <c r="CI308" s="2">
        <f>BY308-BZ308</f>
        <v>0</v>
      </c>
      <c r="CJ308" s="2">
        <f>ROUND(SUMIF(AA290:AA306,"=65170852",GX290:GX306),2)</f>
        <v>0</v>
      </c>
      <c r="CK308" s="2">
        <f>ROUND(SUMIF(AA290:AA306,"=65170852",GY290:GY306),2)</f>
        <v>0</v>
      </c>
      <c r="CL308" s="2">
        <f>ROUND(SUMIF(AA290:AA306,"=65170852",GZ290:GZ306),2)</f>
        <v>0</v>
      </c>
      <c r="CM308" s="2">
        <f>ROUND(SUMIF(AA290:AA306,"=65170852",HD290:HD306),2)</f>
        <v>0</v>
      </c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3"/>
      <c r="DH308" s="3"/>
      <c r="DI308" s="3"/>
      <c r="DJ308" s="3"/>
      <c r="DK308" s="3"/>
      <c r="DL308" s="3"/>
      <c r="DM308" s="3"/>
      <c r="DN308" s="3"/>
      <c r="DO308" s="3"/>
      <c r="DP308" s="3"/>
      <c r="DQ308" s="3"/>
      <c r="DR308" s="3"/>
      <c r="DS308" s="3"/>
      <c r="DT308" s="3"/>
      <c r="DU308" s="3"/>
      <c r="DV308" s="3"/>
      <c r="DW308" s="3"/>
      <c r="DX308" s="3"/>
      <c r="DY308" s="3"/>
      <c r="DZ308" s="3"/>
      <c r="EA308" s="3"/>
      <c r="EB308" s="3"/>
      <c r="EC308" s="3"/>
      <c r="ED308" s="3"/>
      <c r="EE308" s="3"/>
      <c r="EF308" s="3"/>
      <c r="EG308" s="3"/>
      <c r="EH308" s="3"/>
      <c r="EI308" s="3"/>
      <c r="EJ308" s="3"/>
      <c r="EK308" s="3"/>
      <c r="EL308" s="3"/>
      <c r="EM308" s="3"/>
      <c r="EN308" s="3"/>
      <c r="EO308" s="3"/>
      <c r="EP308" s="3"/>
      <c r="EQ308" s="3"/>
      <c r="ER308" s="3"/>
      <c r="ES308" s="3"/>
      <c r="ET308" s="3"/>
      <c r="EU308" s="3"/>
      <c r="EV308" s="3"/>
      <c r="EW308" s="3"/>
      <c r="EX308" s="3"/>
      <c r="EY308" s="3"/>
      <c r="EZ308" s="3"/>
      <c r="FA308" s="3"/>
      <c r="FB308" s="3"/>
      <c r="FC308" s="3"/>
      <c r="FD308" s="3"/>
      <c r="FE308" s="3"/>
      <c r="FF308" s="3"/>
      <c r="FG308" s="3"/>
      <c r="FH308" s="3"/>
      <c r="FI308" s="3"/>
      <c r="FJ308" s="3"/>
      <c r="FK308" s="3"/>
      <c r="FL308" s="3"/>
      <c r="FM308" s="3"/>
      <c r="FN308" s="3"/>
      <c r="FO308" s="3"/>
      <c r="FP308" s="3"/>
      <c r="FQ308" s="3"/>
      <c r="FR308" s="3"/>
      <c r="FS308" s="3"/>
      <c r="FT308" s="3"/>
      <c r="FU308" s="3"/>
      <c r="FV308" s="3"/>
      <c r="FW308" s="3"/>
      <c r="FX308" s="3"/>
      <c r="FY308" s="3"/>
      <c r="FZ308" s="3"/>
      <c r="GA308" s="3"/>
      <c r="GB308" s="3"/>
      <c r="GC308" s="3"/>
      <c r="GD308" s="3"/>
      <c r="GE308" s="3"/>
      <c r="GF308" s="3"/>
      <c r="GG308" s="3"/>
      <c r="GH308" s="3"/>
      <c r="GI308" s="3"/>
      <c r="GJ308" s="3"/>
      <c r="GK308" s="3"/>
      <c r="GL308" s="3"/>
      <c r="GM308" s="3"/>
      <c r="GN308" s="3"/>
      <c r="GO308" s="3"/>
      <c r="GP308" s="3"/>
      <c r="GQ308" s="3"/>
      <c r="GR308" s="3"/>
      <c r="GS308" s="3"/>
      <c r="GT308" s="3"/>
      <c r="GU308" s="3"/>
      <c r="GV308" s="3"/>
      <c r="GW308" s="3"/>
      <c r="GX308" s="3">
        <v>0</v>
      </c>
    </row>
    <row r="310" spans="1:245" x14ac:dyDescent="0.2">
      <c r="A310" s="4">
        <v>50</v>
      </c>
      <c r="B310" s="4">
        <v>0</v>
      </c>
      <c r="C310" s="4">
        <v>0</v>
      </c>
      <c r="D310" s="4">
        <v>1</v>
      </c>
      <c r="E310" s="4">
        <v>201</v>
      </c>
      <c r="F310" s="4">
        <f>ROUND(Source!O308,O310)</f>
        <v>102056.87</v>
      </c>
      <c r="G310" s="4" t="s">
        <v>16</v>
      </c>
      <c r="H310" s="4" t="s">
        <v>17</v>
      </c>
      <c r="I310" s="4"/>
      <c r="J310" s="4"/>
      <c r="K310" s="4">
        <v>201</v>
      </c>
      <c r="L310" s="4">
        <v>1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102056.87000000002</v>
      </c>
      <c r="X310" s="4">
        <v>1</v>
      </c>
      <c r="Y310" s="4">
        <v>102056.87000000002</v>
      </c>
      <c r="Z310" s="4"/>
      <c r="AA310" s="4"/>
      <c r="AB310" s="4"/>
    </row>
    <row r="311" spans="1:245" x14ac:dyDescent="0.2">
      <c r="A311" s="4">
        <v>50</v>
      </c>
      <c r="B311" s="4">
        <v>0</v>
      </c>
      <c r="C311" s="4">
        <v>0</v>
      </c>
      <c r="D311" s="4">
        <v>1</v>
      </c>
      <c r="E311" s="4">
        <v>202</v>
      </c>
      <c r="F311" s="4">
        <f>ROUND(Source!P308,O311)</f>
        <v>0</v>
      </c>
      <c r="G311" s="4" t="s">
        <v>18</v>
      </c>
      <c r="H311" s="4" t="s">
        <v>19</v>
      </c>
      <c r="I311" s="4"/>
      <c r="J311" s="4"/>
      <c r="K311" s="4">
        <v>202</v>
      </c>
      <c r="L311" s="4">
        <v>2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45" x14ac:dyDescent="0.2">
      <c r="A312" s="4">
        <v>50</v>
      </c>
      <c r="B312" s="4">
        <v>0</v>
      </c>
      <c r="C312" s="4">
        <v>0</v>
      </c>
      <c r="D312" s="4">
        <v>1</v>
      </c>
      <c r="E312" s="4">
        <v>222</v>
      </c>
      <c r="F312" s="4">
        <f>ROUND(Source!AO308,O312)</f>
        <v>0</v>
      </c>
      <c r="G312" s="4" t="s">
        <v>20</v>
      </c>
      <c r="H312" s="4" t="s">
        <v>21</v>
      </c>
      <c r="I312" s="4"/>
      <c r="J312" s="4"/>
      <c r="K312" s="4">
        <v>222</v>
      </c>
      <c r="L312" s="4">
        <v>3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45" x14ac:dyDescent="0.2">
      <c r="A313" s="4">
        <v>50</v>
      </c>
      <c r="B313" s="4">
        <v>0</v>
      </c>
      <c r="C313" s="4">
        <v>0</v>
      </c>
      <c r="D313" s="4">
        <v>1</v>
      </c>
      <c r="E313" s="4">
        <v>225</v>
      </c>
      <c r="F313" s="4">
        <f>ROUND(Source!AV308,O313)</f>
        <v>0</v>
      </c>
      <c r="G313" s="4" t="s">
        <v>22</v>
      </c>
      <c r="H313" s="4" t="s">
        <v>23</v>
      </c>
      <c r="I313" s="4"/>
      <c r="J313" s="4"/>
      <c r="K313" s="4">
        <v>225</v>
      </c>
      <c r="L313" s="4">
        <v>4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45" x14ac:dyDescent="0.2">
      <c r="A314" s="4">
        <v>50</v>
      </c>
      <c r="B314" s="4">
        <v>0</v>
      </c>
      <c r="C314" s="4">
        <v>0</v>
      </c>
      <c r="D314" s="4">
        <v>1</v>
      </c>
      <c r="E314" s="4">
        <v>226</v>
      </c>
      <c r="F314" s="4">
        <f>ROUND(Source!AW308,O314)</f>
        <v>0</v>
      </c>
      <c r="G314" s="4" t="s">
        <v>24</v>
      </c>
      <c r="H314" s="4" t="s">
        <v>25</v>
      </c>
      <c r="I314" s="4"/>
      <c r="J314" s="4"/>
      <c r="K314" s="4">
        <v>226</v>
      </c>
      <c r="L314" s="4">
        <v>5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45" x14ac:dyDescent="0.2">
      <c r="A315" s="4">
        <v>50</v>
      </c>
      <c r="B315" s="4">
        <v>0</v>
      </c>
      <c r="C315" s="4">
        <v>0</v>
      </c>
      <c r="D315" s="4">
        <v>1</v>
      </c>
      <c r="E315" s="4">
        <v>227</v>
      </c>
      <c r="F315" s="4">
        <f>ROUND(Source!AX308,O315)</f>
        <v>0</v>
      </c>
      <c r="G315" s="4" t="s">
        <v>26</v>
      </c>
      <c r="H315" s="4" t="s">
        <v>27</v>
      </c>
      <c r="I315" s="4"/>
      <c r="J315" s="4"/>
      <c r="K315" s="4">
        <v>227</v>
      </c>
      <c r="L315" s="4">
        <v>6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45" x14ac:dyDescent="0.2">
      <c r="A316" s="4">
        <v>50</v>
      </c>
      <c r="B316" s="4">
        <v>0</v>
      </c>
      <c r="C316" s="4">
        <v>0</v>
      </c>
      <c r="D316" s="4">
        <v>1</v>
      </c>
      <c r="E316" s="4">
        <v>228</v>
      </c>
      <c r="F316" s="4">
        <f>ROUND(Source!AY308,O316)</f>
        <v>0</v>
      </c>
      <c r="G316" s="4" t="s">
        <v>28</v>
      </c>
      <c r="H316" s="4" t="s">
        <v>29</v>
      </c>
      <c r="I316" s="4"/>
      <c r="J316" s="4"/>
      <c r="K316" s="4">
        <v>228</v>
      </c>
      <c r="L316" s="4">
        <v>7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45" x14ac:dyDescent="0.2">
      <c r="A317" s="4">
        <v>50</v>
      </c>
      <c r="B317" s="4">
        <v>0</v>
      </c>
      <c r="C317" s="4">
        <v>0</v>
      </c>
      <c r="D317" s="4">
        <v>1</v>
      </c>
      <c r="E317" s="4">
        <v>216</v>
      </c>
      <c r="F317" s="4">
        <f>ROUND(Source!AP308,O317)</f>
        <v>0</v>
      </c>
      <c r="G317" s="4" t="s">
        <v>30</v>
      </c>
      <c r="H317" s="4" t="s">
        <v>31</v>
      </c>
      <c r="I317" s="4"/>
      <c r="J317" s="4"/>
      <c r="K317" s="4">
        <v>216</v>
      </c>
      <c r="L317" s="4">
        <v>8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45" x14ac:dyDescent="0.2">
      <c r="A318" s="4">
        <v>50</v>
      </c>
      <c r="B318" s="4">
        <v>0</v>
      </c>
      <c r="C318" s="4">
        <v>0</v>
      </c>
      <c r="D318" s="4">
        <v>1</v>
      </c>
      <c r="E318" s="4">
        <v>223</v>
      </c>
      <c r="F318" s="4">
        <f>ROUND(Source!AQ308,O318)</f>
        <v>0</v>
      </c>
      <c r="G318" s="4" t="s">
        <v>32</v>
      </c>
      <c r="H318" s="4" t="s">
        <v>33</v>
      </c>
      <c r="I318" s="4"/>
      <c r="J318" s="4"/>
      <c r="K318" s="4">
        <v>223</v>
      </c>
      <c r="L318" s="4">
        <v>9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45" x14ac:dyDescent="0.2">
      <c r="A319" s="4">
        <v>50</v>
      </c>
      <c r="B319" s="4">
        <v>0</v>
      </c>
      <c r="C319" s="4">
        <v>0</v>
      </c>
      <c r="D319" s="4">
        <v>1</v>
      </c>
      <c r="E319" s="4">
        <v>229</v>
      </c>
      <c r="F319" s="4">
        <f>ROUND(Source!AZ308,O319)</f>
        <v>0</v>
      </c>
      <c r="G319" s="4" t="s">
        <v>34</v>
      </c>
      <c r="H319" s="4" t="s">
        <v>35</v>
      </c>
      <c r="I319" s="4"/>
      <c r="J319" s="4"/>
      <c r="K319" s="4">
        <v>229</v>
      </c>
      <c r="L319" s="4">
        <v>10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45" x14ac:dyDescent="0.2">
      <c r="A320" s="4">
        <v>50</v>
      </c>
      <c r="B320" s="4">
        <v>0</v>
      </c>
      <c r="C320" s="4">
        <v>0</v>
      </c>
      <c r="D320" s="4">
        <v>1</v>
      </c>
      <c r="E320" s="4">
        <v>203</v>
      </c>
      <c r="F320" s="4">
        <f>ROUND(Source!Q308,O320)</f>
        <v>0</v>
      </c>
      <c r="G320" s="4" t="s">
        <v>36</v>
      </c>
      <c r="H320" s="4" t="s">
        <v>37</v>
      </c>
      <c r="I320" s="4"/>
      <c r="J320" s="4"/>
      <c r="K320" s="4">
        <v>203</v>
      </c>
      <c r="L320" s="4">
        <v>11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231</v>
      </c>
      <c r="F321" s="4">
        <f>ROUND(Source!BB308,O321)</f>
        <v>0</v>
      </c>
      <c r="G321" s="4" t="s">
        <v>38</v>
      </c>
      <c r="H321" s="4" t="s">
        <v>39</v>
      </c>
      <c r="I321" s="4"/>
      <c r="J321" s="4"/>
      <c r="K321" s="4">
        <v>231</v>
      </c>
      <c r="L321" s="4">
        <v>12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204</v>
      </c>
      <c r="F322" s="4">
        <f>ROUND(Source!R308,O322)</f>
        <v>0</v>
      </c>
      <c r="G322" s="4" t="s">
        <v>40</v>
      </c>
      <c r="H322" s="4" t="s">
        <v>41</v>
      </c>
      <c r="I322" s="4"/>
      <c r="J322" s="4"/>
      <c r="K322" s="4">
        <v>204</v>
      </c>
      <c r="L322" s="4">
        <v>13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205</v>
      </c>
      <c r="F323" s="4">
        <f>ROUND(Source!S308,O323)</f>
        <v>102056.87</v>
      </c>
      <c r="G323" s="4" t="s">
        <v>42</v>
      </c>
      <c r="H323" s="4" t="s">
        <v>43</v>
      </c>
      <c r="I323" s="4"/>
      <c r="J323" s="4"/>
      <c r="K323" s="4">
        <v>205</v>
      </c>
      <c r="L323" s="4">
        <v>14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102056.87000000002</v>
      </c>
      <c r="X323" s="4">
        <v>1</v>
      </c>
      <c r="Y323" s="4">
        <v>102056.87000000002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232</v>
      </c>
      <c r="F324" s="4">
        <f>ROUND(Source!BC308,O324)</f>
        <v>0</v>
      </c>
      <c r="G324" s="4" t="s">
        <v>44</v>
      </c>
      <c r="H324" s="4" t="s">
        <v>45</v>
      </c>
      <c r="I324" s="4"/>
      <c r="J324" s="4"/>
      <c r="K324" s="4">
        <v>232</v>
      </c>
      <c r="L324" s="4">
        <v>15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214</v>
      </c>
      <c r="F325" s="4">
        <f>ROUND(Source!AS308,O325)</f>
        <v>0</v>
      </c>
      <c r="G325" s="4" t="s">
        <v>46</v>
      </c>
      <c r="H325" s="4" t="s">
        <v>47</v>
      </c>
      <c r="I325" s="4"/>
      <c r="J325" s="4"/>
      <c r="K325" s="4">
        <v>214</v>
      </c>
      <c r="L325" s="4">
        <v>16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215</v>
      </c>
      <c r="F326" s="4">
        <f>ROUND(Source!AT308,O326)</f>
        <v>0</v>
      </c>
      <c r="G326" s="4" t="s">
        <v>48</v>
      </c>
      <c r="H326" s="4" t="s">
        <v>49</v>
      </c>
      <c r="I326" s="4"/>
      <c r="J326" s="4"/>
      <c r="K326" s="4">
        <v>215</v>
      </c>
      <c r="L326" s="4">
        <v>17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217</v>
      </c>
      <c r="F327" s="4">
        <f>ROUND(Source!AU308,O327)</f>
        <v>214319.44</v>
      </c>
      <c r="G327" s="4" t="s">
        <v>50</v>
      </c>
      <c r="H327" s="4" t="s">
        <v>51</v>
      </c>
      <c r="I327" s="4"/>
      <c r="J327" s="4"/>
      <c r="K327" s="4">
        <v>217</v>
      </c>
      <c r="L327" s="4">
        <v>18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214319.44</v>
      </c>
      <c r="X327" s="4">
        <v>1</v>
      </c>
      <c r="Y327" s="4">
        <v>214319.44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230</v>
      </c>
      <c r="F328" s="4">
        <f>ROUND(Source!BA308,O328)</f>
        <v>0</v>
      </c>
      <c r="G328" s="4" t="s">
        <v>52</v>
      </c>
      <c r="H328" s="4" t="s">
        <v>53</v>
      </c>
      <c r="I328" s="4"/>
      <c r="J328" s="4"/>
      <c r="K328" s="4">
        <v>230</v>
      </c>
      <c r="L328" s="4">
        <v>19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206</v>
      </c>
      <c r="F329" s="4">
        <f>ROUND(Source!T308,O329)</f>
        <v>0</v>
      </c>
      <c r="G329" s="4" t="s">
        <v>54</v>
      </c>
      <c r="H329" s="4" t="s">
        <v>55</v>
      </c>
      <c r="I329" s="4"/>
      <c r="J329" s="4"/>
      <c r="K329" s="4">
        <v>206</v>
      </c>
      <c r="L329" s="4">
        <v>20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207</v>
      </c>
      <c r="F330" s="4">
        <f>ROUND(Source!U308,O330)</f>
        <v>162.74680000000001</v>
      </c>
      <c r="G330" s="4" t="s">
        <v>56</v>
      </c>
      <c r="H330" s="4" t="s">
        <v>57</v>
      </c>
      <c r="I330" s="4"/>
      <c r="J330" s="4"/>
      <c r="K330" s="4">
        <v>207</v>
      </c>
      <c r="L330" s="4">
        <v>21</v>
      </c>
      <c r="M330" s="4">
        <v>3</v>
      </c>
      <c r="N330" s="4" t="s">
        <v>3</v>
      </c>
      <c r="O330" s="4">
        <v>7</v>
      </c>
      <c r="P330" s="4"/>
      <c r="Q330" s="4"/>
      <c r="R330" s="4"/>
      <c r="S330" s="4"/>
      <c r="T330" s="4"/>
      <c r="U330" s="4"/>
      <c r="V330" s="4"/>
      <c r="W330" s="4">
        <v>162.74680000000001</v>
      </c>
      <c r="X330" s="4">
        <v>1</v>
      </c>
      <c r="Y330" s="4">
        <v>162.74680000000001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208</v>
      </c>
      <c r="F331" s="4">
        <f>ROUND(Source!V308,O331)</f>
        <v>0</v>
      </c>
      <c r="G331" s="4" t="s">
        <v>58</v>
      </c>
      <c r="H331" s="4" t="s">
        <v>59</v>
      </c>
      <c r="I331" s="4"/>
      <c r="J331" s="4"/>
      <c r="K331" s="4">
        <v>208</v>
      </c>
      <c r="L331" s="4">
        <v>22</v>
      </c>
      <c r="M331" s="4">
        <v>3</v>
      </c>
      <c r="N331" s="4" t="s">
        <v>3</v>
      </c>
      <c r="O331" s="4">
        <v>7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209</v>
      </c>
      <c r="F332" s="4">
        <f>ROUND(Source!W308,O332)</f>
        <v>0</v>
      </c>
      <c r="G332" s="4" t="s">
        <v>60</v>
      </c>
      <c r="H332" s="4" t="s">
        <v>61</v>
      </c>
      <c r="I332" s="4"/>
      <c r="J332" s="4"/>
      <c r="K332" s="4">
        <v>209</v>
      </c>
      <c r="L332" s="4">
        <v>23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233</v>
      </c>
      <c r="F333" s="4">
        <f>ROUND(Source!BD308,O333)</f>
        <v>0</v>
      </c>
      <c r="G333" s="4" t="s">
        <v>62</v>
      </c>
      <c r="H333" s="4" t="s">
        <v>63</v>
      </c>
      <c r="I333" s="4"/>
      <c r="J333" s="4"/>
      <c r="K333" s="4">
        <v>233</v>
      </c>
      <c r="L333" s="4">
        <v>24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210</v>
      </c>
      <c r="F334" s="4">
        <f>ROUND(Source!X308,O334)</f>
        <v>75522.09</v>
      </c>
      <c r="G334" s="4" t="s">
        <v>64</v>
      </c>
      <c r="H334" s="4" t="s">
        <v>65</v>
      </c>
      <c r="I334" s="4"/>
      <c r="J334" s="4"/>
      <c r="K334" s="4">
        <v>210</v>
      </c>
      <c r="L334" s="4">
        <v>25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75522.09</v>
      </c>
      <c r="X334" s="4">
        <v>1</v>
      </c>
      <c r="Y334" s="4">
        <v>75522.09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211</v>
      </c>
      <c r="F335" s="4">
        <f>ROUND(Source!Y308,O335)</f>
        <v>36740.480000000003</v>
      </c>
      <c r="G335" s="4" t="s">
        <v>66</v>
      </c>
      <c r="H335" s="4" t="s">
        <v>67</v>
      </c>
      <c r="I335" s="4"/>
      <c r="J335" s="4"/>
      <c r="K335" s="4">
        <v>211</v>
      </c>
      <c r="L335" s="4">
        <v>26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36740.480000000003</v>
      </c>
      <c r="X335" s="4">
        <v>1</v>
      </c>
      <c r="Y335" s="4">
        <v>36740.480000000003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224</v>
      </c>
      <c r="F336" s="4">
        <f>ROUND(Source!AR308,O336)</f>
        <v>214319.44</v>
      </c>
      <c r="G336" s="4" t="s">
        <v>68</v>
      </c>
      <c r="H336" s="4" t="s">
        <v>69</v>
      </c>
      <c r="I336" s="4"/>
      <c r="J336" s="4"/>
      <c r="K336" s="4">
        <v>224</v>
      </c>
      <c r="L336" s="4">
        <v>27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214319.44000000003</v>
      </c>
      <c r="X336" s="4">
        <v>1</v>
      </c>
      <c r="Y336" s="4">
        <v>214319.44000000003</v>
      </c>
      <c r="Z336" s="4"/>
      <c r="AA336" s="4"/>
      <c r="AB336" s="4"/>
    </row>
    <row r="338" spans="1:206" x14ac:dyDescent="0.2">
      <c r="A338" s="2">
        <v>51</v>
      </c>
      <c r="B338" s="2">
        <f>B54</f>
        <v>1</v>
      </c>
      <c r="C338" s="2">
        <f>A54</f>
        <v>3</v>
      </c>
      <c r="D338" s="2">
        <f>ROW(A54)</f>
        <v>54</v>
      </c>
      <c r="E338" s="2"/>
      <c r="F338" s="2" t="str">
        <f>IF(F54&lt;&gt;"",F54,"")</f>
        <v>Новая локальная смета</v>
      </c>
      <c r="G338" s="2" t="str">
        <f>IF(G54&lt;&gt;"",G54,"")</f>
        <v>Реконструкция КТП-1402 по адресу: г.Москва, поселение Щаповское, с.Ознобишино</v>
      </c>
      <c r="H338" s="2">
        <v>0</v>
      </c>
      <c r="I338" s="2"/>
      <c r="J338" s="2"/>
      <c r="K338" s="2"/>
      <c r="L338" s="2"/>
      <c r="M338" s="2"/>
      <c r="N338" s="2"/>
      <c r="O338" s="2">
        <f t="shared" ref="O338:T338" si="211">ROUND(O87+O129+O174+O218+O256+O308+AB338,2)</f>
        <v>2288730.34</v>
      </c>
      <c r="P338" s="2">
        <f t="shared" si="211"/>
        <v>2037423.44</v>
      </c>
      <c r="Q338" s="2">
        <f t="shared" si="211"/>
        <v>33987.69</v>
      </c>
      <c r="R338" s="2">
        <f t="shared" si="211"/>
        <v>15487.29</v>
      </c>
      <c r="S338" s="2">
        <f t="shared" si="211"/>
        <v>201831.92</v>
      </c>
      <c r="T338" s="2">
        <f t="shared" si="211"/>
        <v>0</v>
      </c>
      <c r="U338" s="2">
        <f>U87+U129+U174+U218+U256+U308+AH338</f>
        <v>372.91467839999996</v>
      </c>
      <c r="V338" s="2">
        <f>V87+V129+V174+V218+V256+V308+AI338</f>
        <v>25.910122000000001</v>
      </c>
      <c r="W338" s="2">
        <f>ROUND(W87+W129+W174+W218+W256+W308+AJ338,2)</f>
        <v>0</v>
      </c>
      <c r="X338" s="2">
        <f>ROUND(X87+X129+X174+X218+X256+X308+AK338,2)</f>
        <v>190280.14</v>
      </c>
      <c r="Y338" s="2">
        <f>ROUND(Y87+Y129+Y174+Y218+Y256+Y308+AL338,2)</f>
        <v>100855.9</v>
      </c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>
        <f t="shared" ref="AO338:BD338" si="212">ROUND(AO87+AO129+AO174+AO218+AO256+AO308+BX338,2)</f>
        <v>0</v>
      </c>
      <c r="AP338" s="2">
        <f t="shared" si="212"/>
        <v>0</v>
      </c>
      <c r="AQ338" s="2">
        <f t="shared" si="212"/>
        <v>0</v>
      </c>
      <c r="AR338" s="2">
        <f t="shared" si="212"/>
        <v>2579866.38</v>
      </c>
      <c r="AS338" s="2">
        <f t="shared" si="212"/>
        <v>2154157.86</v>
      </c>
      <c r="AT338" s="2">
        <f t="shared" si="212"/>
        <v>211389.08</v>
      </c>
      <c r="AU338" s="2">
        <f t="shared" si="212"/>
        <v>214319.44</v>
      </c>
      <c r="AV338" s="2">
        <f t="shared" si="212"/>
        <v>2037423.44</v>
      </c>
      <c r="AW338" s="2">
        <f t="shared" si="212"/>
        <v>2037423.44</v>
      </c>
      <c r="AX338" s="2">
        <f t="shared" si="212"/>
        <v>0</v>
      </c>
      <c r="AY338" s="2">
        <f t="shared" si="212"/>
        <v>2037423.44</v>
      </c>
      <c r="AZ338" s="2">
        <f t="shared" si="212"/>
        <v>0</v>
      </c>
      <c r="BA338" s="2">
        <f t="shared" si="212"/>
        <v>0</v>
      </c>
      <c r="BB338" s="2">
        <f t="shared" si="212"/>
        <v>0</v>
      </c>
      <c r="BC338" s="2">
        <f t="shared" si="212"/>
        <v>0</v>
      </c>
      <c r="BD338" s="2">
        <f t="shared" si="212"/>
        <v>0</v>
      </c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3"/>
      <c r="DH338" s="3"/>
      <c r="DI338" s="3"/>
      <c r="DJ338" s="3"/>
      <c r="DK338" s="3"/>
      <c r="DL338" s="3"/>
      <c r="DM338" s="3"/>
      <c r="DN338" s="3"/>
      <c r="DO338" s="3"/>
      <c r="DP338" s="3"/>
      <c r="DQ338" s="3"/>
      <c r="DR338" s="3"/>
      <c r="DS338" s="3"/>
      <c r="DT338" s="3"/>
      <c r="DU338" s="3"/>
      <c r="DV338" s="3"/>
      <c r="DW338" s="3"/>
      <c r="DX338" s="3"/>
      <c r="DY338" s="3"/>
      <c r="DZ338" s="3"/>
      <c r="EA338" s="3"/>
      <c r="EB338" s="3"/>
      <c r="EC338" s="3"/>
      <c r="ED338" s="3"/>
      <c r="EE338" s="3"/>
      <c r="EF338" s="3"/>
      <c r="EG338" s="3"/>
      <c r="EH338" s="3"/>
      <c r="EI338" s="3"/>
      <c r="EJ338" s="3"/>
      <c r="EK338" s="3"/>
      <c r="EL338" s="3"/>
      <c r="EM338" s="3"/>
      <c r="EN338" s="3"/>
      <c r="EO338" s="3"/>
      <c r="EP338" s="3"/>
      <c r="EQ338" s="3"/>
      <c r="ER338" s="3"/>
      <c r="ES338" s="3"/>
      <c r="ET338" s="3"/>
      <c r="EU338" s="3"/>
      <c r="EV338" s="3"/>
      <c r="EW338" s="3"/>
      <c r="EX338" s="3"/>
      <c r="EY338" s="3"/>
      <c r="EZ338" s="3"/>
      <c r="FA338" s="3"/>
      <c r="FB338" s="3"/>
      <c r="FC338" s="3"/>
      <c r="FD338" s="3"/>
      <c r="FE338" s="3"/>
      <c r="FF338" s="3"/>
      <c r="FG338" s="3"/>
      <c r="FH338" s="3"/>
      <c r="FI338" s="3"/>
      <c r="FJ338" s="3"/>
      <c r="FK338" s="3"/>
      <c r="FL338" s="3"/>
      <c r="FM338" s="3"/>
      <c r="FN338" s="3"/>
      <c r="FO338" s="3"/>
      <c r="FP338" s="3"/>
      <c r="FQ338" s="3"/>
      <c r="FR338" s="3"/>
      <c r="FS338" s="3"/>
      <c r="FT338" s="3"/>
      <c r="FU338" s="3"/>
      <c r="FV338" s="3"/>
      <c r="FW338" s="3"/>
      <c r="FX338" s="3"/>
      <c r="FY338" s="3"/>
      <c r="FZ338" s="3"/>
      <c r="GA338" s="3"/>
      <c r="GB338" s="3"/>
      <c r="GC338" s="3"/>
      <c r="GD338" s="3"/>
      <c r="GE338" s="3"/>
      <c r="GF338" s="3"/>
      <c r="GG338" s="3"/>
      <c r="GH338" s="3"/>
      <c r="GI338" s="3"/>
      <c r="GJ338" s="3"/>
      <c r="GK338" s="3"/>
      <c r="GL338" s="3"/>
      <c r="GM338" s="3"/>
      <c r="GN338" s="3"/>
      <c r="GO338" s="3"/>
      <c r="GP338" s="3"/>
      <c r="GQ338" s="3"/>
      <c r="GR338" s="3"/>
      <c r="GS338" s="3"/>
      <c r="GT338" s="3"/>
      <c r="GU338" s="3"/>
      <c r="GV338" s="3"/>
      <c r="GW338" s="3"/>
      <c r="GX338" s="3">
        <v>0</v>
      </c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201</v>
      </c>
      <c r="F340" s="4">
        <f>ROUND(Source!O338,O340)</f>
        <v>2288730.34</v>
      </c>
      <c r="G340" s="4" t="s">
        <v>16</v>
      </c>
      <c r="H340" s="4" t="s">
        <v>17</v>
      </c>
      <c r="I340" s="4"/>
      <c r="J340" s="4"/>
      <c r="K340" s="4">
        <v>201</v>
      </c>
      <c r="L340" s="4">
        <v>1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2288730.34</v>
      </c>
      <c r="X340" s="4">
        <v>1</v>
      </c>
      <c r="Y340" s="4">
        <v>2288730.34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202</v>
      </c>
      <c r="F341" s="4">
        <f>ROUND(Source!P338,O341)</f>
        <v>2037423.44</v>
      </c>
      <c r="G341" s="4" t="s">
        <v>18</v>
      </c>
      <c r="H341" s="4" t="s">
        <v>19</v>
      </c>
      <c r="I341" s="4"/>
      <c r="J341" s="4"/>
      <c r="K341" s="4">
        <v>202</v>
      </c>
      <c r="L341" s="4">
        <v>2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2037423.44</v>
      </c>
      <c r="X341" s="4">
        <v>1</v>
      </c>
      <c r="Y341" s="4">
        <v>2037423.44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222</v>
      </c>
      <c r="F342" s="4">
        <f>ROUND(Source!AO338,O342)</f>
        <v>0</v>
      </c>
      <c r="G342" s="4" t="s">
        <v>20</v>
      </c>
      <c r="H342" s="4" t="s">
        <v>21</v>
      </c>
      <c r="I342" s="4"/>
      <c r="J342" s="4"/>
      <c r="K342" s="4">
        <v>222</v>
      </c>
      <c r="L342" s="4">
        <v>3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0</v>
      </c>
      <c r="X342" s="4">
        <v>1</v>
      </c>
      <c r="Y342" s="4">
        <v>0</v>
      </c>
      <c r="Z342" s="4"/>
      <c r="AA342" s="4"/>
      <c r="AB342" s="4"/>
    </row>
    <row r="343" spans="1:206" x14ac:dyDescent="0.2">
      <c r="A343" s="4">
        <v>50</v>
      </c>
      <c r="B343" s="4">
        <v>0</v>
      </c>
      <c r="C343" s="4">
        <v>0</v>
      </c>
      <c r="D343" s="4">
        <v>1</v>
      </c>
      <c r="E343" s="4">
        <v>225</v>
      </c>
      <c r="F343" s="4">
        <f>ROUND(Source!AV338,O343)</f>
        <v>2037423.44</v>
      </c>
      <c r="G343" s="4" t="s">
        <v>22</v>
      </c>
      <c r="H343" s="4" t="s">
        <v>23</v>
      </c>
      <c r="I343" s="4"/>
      <c r="J343" s="4"/>
      <c r="K343" s="4">
        <v>225</v>
      </c>
      <c r="L343" s="4">
        <v>4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2037423.44</v>
      </c>
      <c r="X343" s="4">
        <v>1</v>
      </c>
      <c r="Y343" s="4">
        <v>2037423.44</v>
      </c>
      <c r="Z343" s="4"/>
      <c r="AA343" s="4"/>
      <c r="AB343" s="4"/>
    </row>
    <row r="344" spans="1:206" x14ac:dyDescent="0.2">
      <c r="A344" s="4">
        <v>50</v>
      </c>
      <c r="B344" s="4">
        <v>0</v>
      </c>
      <c r="C344" s="4">
        <v>0</v>
      </c>
      <c r="D344" s="4">
        <v>1</v>
      </c>
      <c r="E344" s="4">
        <v>226</v>
      </c>
      <c r="F344" s="4">
        <f>ROUND(Source!AW338,O344)</f>
        <v>2037423.44</v>
      </c>
      <c r="G344" s="4" t="s">
        <v>24</v>
      </c>
      <c r="H344" s="4" t="s">
        <v>25</v>
      </c>
      <c r="I344" s="4"/>
      <c r="J344" s="4"/>
      <c r="K344" s="4">
        <v>226</v>
      </c>
      <c r="L344" s="4">
        <v>5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2037423.44</v>
      </c>
      <c r="X344" s="4">
        <v>1</v>
      </c>
      <c r="Y344" s="4">
        <v>2037423.44</v>
      </c>
      <c r="Z344" s="4"/>
      <c r="AA344" s="4"/>
      <c r="AB344" s="4"/>
    </row>
    <row r="345" spans="1:206" x14ac:dyDescent="0.2">
      <c r="A345" s="4">
        <v>50</v>
      </c>
      <c r="B345" s="4">
        <v>0</v>
      </c>
      <c r="C345" s="4">
        <v>0</v>
      </c>
      <c r="D345" s="4">
        <v>1</v>
      </c>
      <c r="E345" s="4">
        <v>227</v>
      </c>
      <c r="F345" s="4">
        <f>ROUND(Source!AX338,O345)</f>
        <v>0</v>
      </c>
      <c r="G345" s="4" t="s">
        <v>26</v>
      </c>
      <c r="H345" s="4" t="s">
        <v>27</v>
      </c>
      <c r="I345" s="4"/>
      <c r="J345" s="4"/>
      <c r="K345" s="4">
        <v>227</v>
      </c>
      <c r="L345" s="4">
        <v>6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06" x14ac:dyDescent="0.2">
      <c r="A346" s="4">
        <v>50</v>
      </c>
      <c r="B346" s="4">
        <v>0</v>
      </c>
      <c r="C346" s="4">
        <v>0</v>
      </c>
      <c r="D346" s="4">
        <v>1</v>
      </c>
      <c r="E346" s="4">
        <v>228</v>
      </c>
      <c r="F346" s="4">
        <f>ROUND(Source!AY338,O346)</f>
        <v>2037423.44</v>
      </c>
      <c r="G346" s="4" t="s">
        <v>28</v>
      </c>
      <c r="H346" s="4" t="s">
        <v>29</v>
      </c>
      <c r="I346" s="4"/>
      <c r="J346" s="4"/>
      <c r="K346" s="4">
        <v>228</v>
      </c>
      <c r="L346" s="4">
        <v>7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2037423.44</v>
      </c>
      <c r="X346" s="4">
        <v>1</v>
      </c>
      <c r="Y346" s="4">
        <v>2037423.44</v>
      </c>
      <c r="Z346" s="4"/>
      <c r="AA346" s="4"/>
      <c r="AB346" s="4"/>
    </row>
    <row r="347" spans="1:206" x14ac:dyDescent="0.2">
      <c r="A347" s="4">
        <v>50</v>
      </c>
      <c r="B347" s="4">
        <v>0</v>
      </c>
      <c r="C347" s="4">
        <v>0</v>
      </c>
      <c r="D347" s="4">
        <v>1</v>
      </c>
      <c r="E347" s="4">
        <v>216</v>
      </c>
      <c r="F347" s="4">
        <f>ROUND(Source!AP338,O347)</f>
        <v>0</v>
      </c>
      <c r="G347" s="4" t="s">
        <v>30</v>
      </c>
      <c r="H347" s="4" t="s">
        <v>31</v>
      </c>
      <c r="I347" s="4"/>
      <c r="J347" s="4"/>
      <c r="K347" s="4">
        <v>216</v>
      </c>
      <c r="L347" s="4">
        <v>8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0</v>
      </c>
      <c r="X347" s="4">
        <v>1</v>
      </c>
      <c r="Y347" s="4">
        <v>0</v>
      </c>
      <c r="Z347" s="4"/>
      <c r="AA347" s="4"/>
      <c r="AB347" s="4"/>
    </row>
    <row r="348" spans="1:206" x14ac:dyDescent="0.2">
      <c r="A348" s="4">
        <v>50</v>
      </c>
      <c r="B348" s="4">
        <v>0</v>
      </c>
      <c r="C348" s="4">
        <v>0</v>
      </c>
      <c r="D348" s="4">
        <v>1</v>
      </c>
      <c r="E348" s="4">
        <v>223</v>
      </c>
      <c r="F348" s="4">
        <f>ROUND(Source!AQ338,O348)</f>
        <v>0</v>
      </c>
      <c r="G348" s="4" t="s">
        <v>32</v>
      </c>
      <c r="H348" s="4" t="s">
        <v>33</v>
      </c>
      <c r="I348" s="4"/>
      <c r="J348" s="4"/>
      <c r="K348" s="4">
        <v>223</v>
      </c>
      <c r="L348" s="4">
        <v>9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06" x14ac:dyDescent="0.2">
      <c r="A349" s="4">
        <v>50</v>
      </c>
      <c r="B349" s="4">
        <v>0</v>
      </c>
      <c r="C349" s="4">
        <v>0</v>
      </c>
      <c r="D349" s="4">
        <v>1</v>
      </c>
      <c r="E349" s="4">
        <v>229</v>
      </c>
      <c r="F349" s="4">
        <f>ROUND(Source!AZ338,O349)</f>
        <v>0</v>
      </c>
      <c r="G349" s="4" t="s">
        <v>34</v>
      </c>
      <c r="H349" s="4" t="s">
        <v>35</v>
      </c>
      <c r="I349" s="4"/>
      <c r="J349" s="4"/>
      <c r="K349" s="4">
        <v>229</v>
      </c>
      <c r="L349" s="4">
        <v>10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0</v>
      </c>
      <c r="X349" s="4">
        <v>1</v>
      </c>
      <c r="Y349" s="4">
        <v>0</v>
      </c>
      <c r="Z349" s="4"/>
      <c r="AA349" s="4"/>
      <c r="AB349" s="4"/>
    </row>
    <row r="350" spans="1:206" x14ac:dyDescent="0.2">
      <c r="A350" s="4">
        <v>50</v>
      </c>
      <c r="B350" s="4">
        <v>0</v>
      </c>
      <c r="C350" s="4">
        <v>0</v>
      </c>
      <c r="D350" s="4">
        <v>1</v>
      </c>
      <c r="E350" s="4">
        <v>203</v>
      </c>
      <c r="F350" s="4">
        <f>ROUND(Source!Q338,O350)</f>
        <v>33987.69</v>
      </c>
      <c r="G350" s="4" t="s">
        <v>36</v>
      </c>
      <c r="H350" s="4" t="s">
        <v>37</v>
      </c>
      <c r="I350" s="4"/>
      <c r="J350" s="4"/>
      <c r="K350" s="4">
        <v>203</v>
      </c>
      <c r="L350" s="4">
        <v>11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33987.69</v>
      </c>
      <c r="X350" s="4">
        <v>1</v>
      </c>
      <c r="Y350" s="4">
        <v>33987.69</v>
      </c>
      <c r="Z350" s="4"/>
      <c r="AA350" s="4"/>
      <c r="AB350" s="4"/>
    </row>
    <row r="351" spans="1:206" x14ac:dyDescent="0.2">
      <c r="A351" s="4">
        <v>50</v>
      </c>
      <c r="B351" s="4">
        <v>0</v>
      </c>
      <c r="C351" s="4">
        <v>0</v>
      </c>
      <c r="D351" s="4">
        <v>1</v>
      </c>
      <c r="E351" s="4">
        <v>231</v>
      </c>
      <c r="F351" s="4">
        <f>ROUND(Source!BB338,O351)</f>
        <v>0</v>
      </c>
      <c r="G351" s="4" t="s">
        <v>38</v>
      </c>
      <c r="H351" s="4" t="s">
        <v>39</v>
      </c>
      <c r="I351" s="4"/>
      <c r="J351" s="4"/>
      <c r="K351" s="4">
        <v>231</v>
      </c>
      <c r="L351" s="4">
        <v>12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06" x14ac:dyDescent="0.2">
      <c r="A352" s="4">
        <v>50</v>
      </c>
      <c r="B352" s="4">
        <v>0</v>
      </c>
      <c r="C352" s="4">
        <v>0</v>
      </c>
      <c r="D352" s="4">
        <v>1</v>
      </c>
      <c r="E352" s="4">
        <v>204</v>
      </c>
      <c r="F352" s="4">
        <f>ROUND(Source!R338,O352)</f>
        <v>15487.29</v>
      </c>
      <c r="G352" s="4" t="s">
        <v>40</v>
      </c>
      <c r="H352" s="4" t="s">
        <v>41</v>
      </c>
      <c r="I352" s="4"/>
      <c r="J352" s="4"/>
      <c r="K352" s="4">
        <v>204</v>
      </c>
      <c r="L352" s="4">
        <v>13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15487.29</v>
      </c>
      <c r="X352" s="4">
        <v>1</v>
      </c>
      <c r="Y352" s="4">
        <v>15487.29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205</v>
      </c>
      <c r="F353" s="4">
        <f>ROUND(Source!S338,O353)</f>
        <v>201831.92</v>
      </c>
      <c r="G353" s="4" t="s">
        <v>42</v>
      </c>
      <c r="H353" s="4" t="s">
        <v>43</v>
      </c>
      <c r="I353" s="4"/>
      <c r="J353" s="4"/>
      <c r="K353" s="4">
        <v>205</v>
      </c>
      <c r="L353" s="4">
        <v>14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201831.92000000004</v>
      </c>
      <c r="X353" s="4">
        <v>1</v>
      </c>
      <c r="Y353" s="4">
        <v>201831.92000000004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232</v>
      </c>
      <c r="F354" s="4">
        <f>ROUND(Source!BC338,O354)</f>
        <v>0</v>
      </c>
      <c r="G354" s="4" t="s">
        <v>44</v>
      </c>
      <c r="H354" s="4" t="s">
        <v>45</v>
      </c>
      <c r="I354" s="4"/>
      <c r="J354" s="4"/>
      <c r="K354" s="4">
        <v>232</v>
      </c>
      <c r="L354" s="4">
        <v>15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0</v>
      </c>
      <c r="X354" s="4">
        <v>1</v>
      </c>
      <c r="Y354" s="4">
        <v>0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214</v>
      </c>
      <c r="F355" s="4">
        <f>ROUND(Source!AS338,O355)</f>
        <v>2154157.86</v>
      </c>
      <c r="G355" s="4" t="s">
        <v>46</v>
      </c>
      <c r="H355" s="4" t="s">
        <v>47</v>
      </c>
      <c r="I355" s="4"/>
      <c r="J355" s="4"/>
      <c r="K355" s="4">
        <v>214</v>
      </c>
      <c r="L355" s="4">
        <v>16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261226.39</v>
      </c>
      <c r="X355" s="4">
        <v>1</v>
      </c>
      <c r="Y355" s="4">
        <v>261226.39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215</v>
      </c>
      <c r="F356" s="4">
        <f>ROUND(Source!AT338,O356)</f>
        <v>211389.08</v>
      </c>
      <c r="G356" s="4" t="s">
        <v>48</v>
      </c>
      <c r="H356" s="4" t="s">
        <v>49</v>
      </c>
      <c r="I356" s="4"/>
      <c r="J356" s="4"/>
      <c r="K356" s="4">
        <v>215</v>
      </c>
      <c r="L356" s="4">
        <v>17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211389.08</v>
      </c>
      <c r="X356" s="4">
        <v>1</v>
      </c>
      <c r="Y356" s="4">
        <v>211389.08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217</v>
      </c>
      <c r="F357" s="4">
        <f>ROUND(Source!AU338,O357)</f>
        <v>214319.44</v>
      </c>
      <c r="G357" s="4" t="s">
        <v>50</v>
      </c>
      <c r="H357" s="4" t="s">
        <v>51</v>
      </c>
      <c r="I357" s="4"/>
      <c r="J357" s="4"/>
      <c r="K357" s="4">
        <v>217</v>
      </c>
      <c r="L357" s="4">
        <v>18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214319.44</v>
      </c>
      <c r="X357" s="4">
        <v>1</v>
      </c>
      <c r="Y357" s="4">
        <v>214319.44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230</v>
      </c>
      <c r="F358" s="4">
        <f>ROUND(Source!BA338,O358)</f>
        <v>0</v>
      </c>
      <c r="G358" s="4" t="s">
        <v>52</v>
      </c>
      <c r="H358" s="4" t="s">
        <v>53</v>
      </c>
      <c r="I358" s="4"/>
      <c r="J358" s="4"/>
      <c r="K358" s="4">
        <v>230</v>
      </c>
      <c r="L358" s="4">
        <v>19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206</v>
      </c>
      <c r="F359" s="4">
        <f>ROUND(Source!T338,O359)</f>
        <v>0</v>
      </c>
      <c r="G359" s="4" t="s">
        <v>54</v>
      </c>
      <c r="H359" s="4" t="s">
        <v>55</v>
      </c>
      <c r="I359" s="4"/>
      <c r="J359" s="4"/>
      <c r="K359" s="4">
        <v>206</v>
      </c>
      <c r="L359" s="4">
        <v>20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207</v>
      </c>
      <c r="F360" s="4">
        <f>ROUND(Source!U338,O360)</f>
        <v>372.91467840000001</v>
      </c>
      <c r="G360" s="4" t="s">
        <v>56</v>
      </c>
      <c r="H360" s="4" t="s">
        <v>57</v>
      </c>
      <c r="I360" s="4"/>
      <c r="J360" s="4"/>
      <c r="K360" s="4">
        <v>207</v>
      </c>
      <c r="L360" s="4">
        <v>21</v>
      </c>
      <c r="M360" s="4">
        <v>3</v>
      </c>
      <c r="N360" s="4" t="s">
        <v>3</v>
      </c>
      <c r="O360" s="4">
        <v>7</v>
      </c>
      <c r="P360" s="4"/>
      <c r="Q360" s="4"/>
      <c r="R360" s="4"/>
      <c r="S360" s="4"/>
      <c r="T360" s="4"/>
      <c r="U360" s="4"/>
      <c r="V360" s="4"/>
      <c r="W360" s="4">
        <v>372.91467840000001</v>
      </c>
      <c r="X360" s="4">
        <v>1</v>
      </c>
      <c r="Y360" s="4">
        <v>372.91467840000001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208</v>
      </c>
      <c r="F361" s="4">
        <f>ROUND(Source!V338,O361)</f>
        <v>25.910122000000001</v>
      </c>
      <c r="G361" s="4" t="s">
        <v>58</v>
      </c>
      <c r="H361" s="4" t="s">
        <v>59</v>
      </c>
      <c r="I361" s="4"/>
      <c r="J361" s="4"/>
      <c r="K361" s="4">
        <v>208</v>
      </c>
      <c r="L361" s="4">
        <v>22</v>
      </c>
      <c r="M361" s="4">
        <v>3</v>
      </c>
      <c r="N361" s="4" t="s">
        <v>3</v>
      </c>
      <c r="O361" s="4">
        <v>7</v>
      </c>
      <c r="P361" s="4"/>
      <c r="Q361" s="4"/>
      <c r="R361" s="4"/>
      <c r="S361" s="4"/>
      <c r="T361" s="4"/>
      <c r="U361" s="4"/>
      <c r="V361" s="4"/>
      <c r="W361" s="4">
        <v>25.910122000000001</v>
      </c>
      <c r="X361" s="4">
        <v>1</v>
      </c>
      <c r="Y361" s="4">
        <v>25.910122000000001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209</v>
      </c>
      <c r="F362" s="4">
        <f>ROUND(Source!W338,O362)</f>
        <v>0</v>
      </c>
      <c r="G362" s="4" t="s">
        <v>60</v>
      </c>
      <c r="H362" s="4" t="s">
        <v>61</v>
      </c>
      <c r="I362" s="4"/>
      <c r="J362" s="4"/>
      <c r="K362" s="4">
        <v>209</v>
      </c>
      <c r="L362" s="4">
        <v>23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233</v>
      </c>
      <c r="F363" s="4">
        <f>ROUND(Source!BD338,O363)</f>
        <v>0</v>
      </c>
      <c r="G363" s="4" t="s">
        <v>62</v>
      </c>
      <c r="H363" s="4" t="s">
        <v>63</v>
      </c>
      <c r="I363" s="4"/>
      <c r="J363" s="4"/>
      <c r="K363" s="4">
        <v>233</v>
      </c>
      <c r="L363" s="4">
        <v>24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210</v>
      </c>
      <c r="F364" s="4">
        <f>ROUND(Source!X338,O364)</f>
        <v>190280.14</v>
      </c>
      <c r="G364" s="4" t="s">
        <v>64</v>
      </c>
      <c r="H364" s="4" t="s">
        <v>65</v>
      </c>
      <c r="I364" s="4"/>
      <c r="J364" s="4"/>
      <c r="K364" s="4">
        <v>210</v>
      </c>
      <c r="L364" s="4">
        <v>25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190280.14</v>
      </c>
      <c r="X364" s="4">
        <v>1</v>
      </c>
      <c r="Y364" s="4">
        <v>190280.14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211</v>
      </c>
      <c r="F365" s="4">
        <f>ROUND(Source!Y338,O365)</f>
        <v>100855.9</v>
      </c>
      <c r="G365" s="4" t="s">
        <v>66</v>
      </c>
      <c r="H365" s="4" t="s">
        <v>67</v>
      </c>
      <c r="I365" s="4"/>
      <c r="J365" s="4"/>
      <c r="K365" s="4">
        <v>211</v>
      </c>
      <c r="L365" s="4">
        <v>26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100855.9</v>
      </c>
      <c r="X365" s="4">
        <v>1</v>
      </c>
      <c r="Y365" s="4">
        <v>100855.9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224</v>
      </c>
      <c r="F366" s="4">
        <f>ROUND(Source!AR338,O366)</f>
        <v>2579866.38</v>
      </c>
      <c r="G366" s="4" t="s">
        <v>68</v>
      </c>
      <c r="H366" s="4" t="s">
        <v>69</v>
      </c>
      <c r="I366" s="4"/>
      <c r="J366" s="4"/>
      <c r="K366" s="4">
        <v>224</v>
      </c>
      <c r="L366" s="4">
        <v>27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2579866.38</v>
      </c>
      <c r="X366" s="4">
        <v>1</v>
      </c>
      <c r="Y366" s="4">
        <v>2579866.38</v>
      </c>
      <c r="Z366" s="4"/>
      <c r="AA366" s="4"/>
      <c r="AB366" s="4"/>
    </row>
    <row r="367" spans="1:28" x14ac:dyDescent="0.2">
      <c r="A367" s="4">
        <v>50</v>
      </c>
      <c r="B367" s="4">
        <v>1</v>
      </c>
      <c r="C367" s="4">
        <v>0</v>
      </c>
      <c r="D367" s="4">
        <v>2</v>
      </c>
      <c r="E367" s="4">
        <v>0</v>
      </c>
      <c r="F367" s="4">
        <f>ROUND(F115+F157+F202+F246+F284+F336,O367)</f>
        <v>2579866.38</v>
      </c>
      <c r="G367" s="4" t="s">
        <v>423</v>
      </c>
      <c r="H367" s="4" t="s">
        <v>424</v>
      </c>
      <c r="I367" s="4"/>
      <c r="J367" s="4"/>
      <c r="K367" s="4">
        <v>212</v>
      </c>
      <c r="L367" s="4">
        <v>28</v>
      </c>
      <c r="M367" s="4">
        <v>0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2579866.38</v>
      </c>
      <c r="X367" s="4">
        <v>1</v>
      </c>
      <c r="Y367" s="4">
        <v>2579866.38</v>
      </c>
      <c r="Z367" s="4"/>
      <c r="AA367" s="4"/>
      <c r="AB367" s="4"/>
    </row>
    <row r="368" spans="1:28" x14ac:dyDescent="0.2">
      <c r="A368" s="4">
        <v>50</v>
      </c>
      <c r="B368" s="4">
        <v>1</v>
      </c>
      <c r="C368" s="4">
        <v>0</v>
      </c>
      <c r="D368" s="4">
        <v>2</v>
      </c>
      <c r="E368" s="4">
        <v>0</v>
      </c>
      <c r="F368" s="4">
        <f>ROUND(0.2*F367,O368)</f>
        <v>515973.28</v>
      </c>
      <c r="G368" s="4" t="s">
        <v>425</v>
      </c>
      <c r="H368" s="4" t="s">
        <v>426</v>
      </c>
      <c r="I368" s="4"/>
      <c r="J368" s="4"/>
      <c r="K368" s="4">
        <v>212</v>
      </c>
      <c r="L368" s="4">
        <v>29</v>
      </c>
      <c r="M368" s="4">
        <v>0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515973.28</v>
      </c>
      <c r="X368" s="4">
        <v>1</v>
      </c>
      <c r="Y368" s="4">
        <v>515973.28</v>
      </c>
      <c r="Z368" s="4"/>
      <c r="AA368" s="4"/>
      <c r="AB368" s="4"/>
    </row>
    <row r="369" spans="1:206" x14ac:dyDescent="0.2">
      <c r="A369" s="4">
        <v>50</v>
      </c>
      <c r="B369" s="4">
        <v>1</v>
      </c>
      <c r="C369" s="4">
        <v>0</v>
      </c>
      <c r="D369" s="4">
        <v>2</v>
      </c>
      <c r="E369" s="4">
        <v>0</v>
      </c>
      <c r="F369" s="4">
        <f>ROUND(F368+F367,O369)</f>
        <v>3095839.66</v>
      </c>
      <c r="G369" s="4" t="s">
        <v>427</v>
      </c>
      <c r="H369" s="4" t="s">
        <v>428</v>
      </c>
      <c r="I369" s="4"/>
      <c r="J369" s="4"/>
      <c r="K369" s="4">
        <v>212</v>
      </c>
      <c r="L369" s="4">
        <v>30</v>
      </c>
      <c r="M369" s="4">
        <v>0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3095839.66</v>
      </c>
      <c r="X369" s="4">
        <v>1</v>
      </c>
      <c r="Y369" s="4">
        <v>3095839.66</v>
      </c>
      <c r="Z369" s="4"/>
      <c r="AA369" s="4"/>
      <c r="AB369" s="4"/>
    </row>
    <row r="371" spans="1:206" x14ac:dyDescent="0.2">
      <c r="A371" s="2">
        <v>51</v>
      </c>
      <c r="B371" s="2">
        <f>B12</f>
        <v>430</v>
      </c>
      <c r="C371" s="2">
        <f>A12</f>
        <v>1</v>
      </c>
      <c r="D371" s="2">
        <f>ROW(A12)</f>
        <v>12</v>
      </c>
      <c r="E371" s="2"/>
      <c r="F371" s="2" t="str">
        <f>IF(F12&lt;&gt;"",F12,"")</f>
        <v>Новый объект</v>
      </c>
      <c r="G371" s="2" t="str">
        <f>IF(G12&lt;&gt;"",G12,"")</f>
        <v>КТП</v>
      </c>
      <c r="H371" s="2">
        <v>0</v>
      </c>
      <c r="I371" s="2"/>
      <c r="J371" s="2"/>
      <c r="K371" s="2"/>
      <c r="L371" s="2"/>
      <c r="M371" s="2"/>
      <c r="N371" s="2"/>
      <c r="O371" s="2">
        <f t="shared" ref="O371:T371" si="213">ROUND(O24+O338,2)</f>
        <v>2288730.34</v>
      </c>
      <c r="P371" s="2">
        <f t="shared" si="213"/>
        <v>2037423.44</v>
      </c>
      <c r="Q371" s="2">
        <f t="shared" si="213"/>
        <v>33987.69</v>
      </c>
      <c r="R371" s="2">
        <f t="shared" si="213"/>
        <v>15487.29</v>
      </c>
      <c r="S371" s="2">
        <f t="shared" si="213"/>
        <v>201831.92</v>
      </c>
      <c r="T371" s="2">
        <f t="shared" si="213"/>
        <v>0</v>
      </c>
      <c r="U371" s="2">
        <f>U24+U338</f>
        <v>372.91467839999996</v>
      </c>
      <c r="V371" s="2">
        <f>V24+V338</f>
        <v>25.910122000000001</v>
      </c>
      <c r="W371" s="2">
        <f>ROUND(W24+W338,2)</f>
        <v>0</v>
      </c>
      <c r="X371" s="2">
        <f>ROUND(X24+X338,2)</f>
        <v>190280.14</v>
      </c>
      <c r="Y371" s="2">
        <f>ROUND(Y24+Y338,2)</f>
        <v>100855.9</v>
      </c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>
        <f t="shared" ref="AO371:BD371" si="214">ROUND(AO24+AO338,2)</f>
        <v>0</v>
      </c>
      <c r="AP371" s="2">
        <f t="shared" si="214"/>
        <v>0</v>
      </c>
      <c r="AQ371" s="2">
        <f t="shared" si="214"/>
        <v>0</v>
      </c>
      <c r="AR371" s="2">
        <f t="shared" si="214"/>
        <v>2579866.38</v>
      </c>
      <c r="AS371" s="2">
        <f t="shared" si="214"/>
        <v>2154157.86</v>
      </c>
      <c r="AT371" s="2">
        <f t="shared" si="214"/>
        <v>211389.08</v>
      </c>
      <c r="AU371" s="2">
        <f t="shared" si="214"/>
        <v>214319.44</v>
      </c>
      <c r="AV371" s="2">
        <f t="shared" si="214"/>
        <v>2037423.44</v>
      </c>
      <c r="AW371" s="2">
        <f t="shared" si="214"/>
        <v>2037423.44</v>
      </c>
      <c r="AX371" s="2">
        <f t="shared" si="214"/>
        <v>0</v>
      </c>
      <c r="AY371" s="2">
        <f t="shared" si="214"/>
        <v>2037423.44</v>
      </c>
      <c r="AZ371" s="2">
        <f t="shared" si="214"/>
        <v>0</v>
      </c>
      <c r="BA371" s="2">
        <f t="shared" si="214"/>
        <v>0</v>
      </c>
      <c r="BB371" s="2">
        <f t="shared" si="214"/>
        <v>0</v>
      </c>
      <c r="BC371" s="2">
        <f t="shared" si="214"/>
        <v>0</v>
      </c>
      <c r="BD371" s="2">
        <f t="shared" si="214"/>
        <v>0</v>
      </c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3"/>
      <c r="DH371" s="3"/>
      <c r="DI371" s="3"/>
      <c r="DJ371" s="3"/>
      <c r="DK371" s="3"/>
      <c r="DL371" s="3"/>
      <c r="DM371" s="3"/>
      <c r="DN371" s="3"/>
      <c r="DO371" s="3"/>
      <c r="DP371" s="3"/>
      <c r="DQ371" s="3"/>
      <c r="DR371" s="3"/>
      <c r="DS371" s="3"/>
      <c r="DT371" s="3"/>
      <c r="DU371" s="3"/>
      <c r="DV371" s="3"/>
      <c r="DW371" s="3"/>
      <c r="DX371" s="3"/>
      <c r="DY371" s="3"/>
      <c r="DZ371" s="3"/>
      <c r="EA371" s="3"/>
      <c r="EB371" s="3"/>
      <c r="EC371" s="3"/>
      <c r="ED371" s="3"/>
      <c r="EE371" s="3"/>
      <c r="EF371" s="3"/>
      <c r="EG371" s="3"/>
      <c r="EH371" s="3"/>
      <c r="EI371" s="3"/>
      <c r="EJ371" s="3"/>
      <c r="EK371" s="3"/>
      <c r="EL371" s="3"/>
      <c r="EM371" s="3"/>
      <c r="EN371" s="3"/>
      <c r="EO371" s="3"/>
      <c r="EP371" s="3"/>
      <c r="EQ371" s="3"/>
      <c r="ER371" s="3"/>
      <c r="ES371" s="3"/>
      <c r="ET371" s="3"/>
      <c r="EU371" s="3"/>
      <c r="EV371" s="3"/>
      <c r="EW371" s="3"/>
      <c r="EX371" s="3"/>
      <c r="EY371" s="3"/>
      <c r="EZ371" s="3"/>
      <c r="FA371" s="3"/>
      <c r="FB371" s="3"/>
      <c r="FC371" s="3"/>
      <c r="FD371" s="3"/>
      <c r="FE371" s="3"/>
      <c r="FF371" s="3"/>
      <c r="FG371" s="3"/>
      <c r="FH371" s="3"/>
      <c r="FI371" s="3"/>
      <c r="FJ371" s="3"/>
      <c r="FK371" s="3"/>
      <c r="FL371" s="3"/>
      <c r="FM371" s="3"/>
      <c r="FN371" s="3"/>
      <c r="FO371" s="3"/>
      <c r="FP371" s="3"/>
      <c r="FQ371" s="3"/>
      <c r="FR371" s="3"/>
      <c r="FS371" s="3"/>
      <c r="FT371" s="3"/>
      <c r="FU371" s="3"/>
      <c r="FV371" s="3"/>
      <c r="FW371" s="3"/>
      <c r="FX371" s="3"/>
      <c r="FY371" s="3"/>
      <c r="FZ371" s="3"/>
      <c r="GA371" s="3"/>
      <c r="GB371" s="3"/>
      <c r="GC371" s="3"/>
      <c r="GD371" s="3"/>
      <c r="GE371" s="3"/>
      <c r="GF371" s="3"/>
      <c r="GG371" s="3"/>
      <c r="GH371" s="3"/>
      <c r="GI371" s="3"/>
      <c r="GJ371" s="3"/>
      <c r="GK371" s="3"/>
      <c r="GL371" s="3"/>
      <c r="GM371" s="3"/>
      <c r="GN371" s="3"/>
      <c r="GO371" s="3"/>
      <c r="GP371" s="3"/>
      <c r="GQ371" s="3"/>
      <c r="GR371" s="3"/>
      <c r="GS371" s="3"/>
      <c r="GT371" s="3"/>
      <c r="GU371" s="3"/>
      <c r="GV371" s="3"/>
      <c r="GW371" s="3"/>
      <c r="GX371" s="3">
        <v>0</v>
      </c>
    </row>
    <row r="373" spans="1:206" x14ac:dyDescent="0.2">
      <c r="A373" s="4">
        <v>50</v>
      </c>
      <c r="B373" s="4">
        <v>0</v>
      </c>
      <c r="C373" s="4">
        <v>0</v>
      </c>
      <c r="D373" s="4">
        <v>1</v>
      </c>
      <c r="E373" s="4">
        <v>201</v>
      </c>
      <c r="F373" s="4">
        <f>ROUND(Source!O371,O373)</f>
        <v>2288730.34</v>
      </c>
      <c r="G373" s="4" t="s">
        <v>16</v>
      </c>
      <c r="H373" s="4" t="s">
        <v>17</v>
      </c>
      <c r="I373" s="4"/>
      <c r="J373" s="4"/>
      <c r="K373" s="4">
        <v>201</v>
      </c>
      <c r="L373" s="4">
        <v>1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2288730.34</v>
      </c>
      <c r="X373" s="4">
        <v>1</v>
      </c>
      <c r="Y373" s="4">
        <v>2288730.34</v>
      </c>
      <c r="Z373" s="4"/>
      <c r="AA373" s="4"/>
      <c r="AB373" s="4"/>
    </row>
    <row r="374" spans="1:206" x14ac:dyDescent="0.2">
      <c r="A374" s="4">
        <v>50</v>
      </c>
      <c r="B374" s="4">
        <v>0</v>
      </c>
      <c r="C374" s="4">
        <v>0</v>
      </c>
      <c r="D374" s="4">
        <v>1</v>
      </c>
      <c r="E374" s="4">
        <v>202</v>
      </c>
      <c r="F374" s="4">
        <f>ROUND(Source!P371,O374)</f>
        <v>2037423.44</v>
      </c>
      <c r="G374" s="4" t="s">
        <v>18</v>
      </c>
      <c r="H374" s="4" t="s">
        <v>19</v>
      </c>
      <c r="I374" s="4"/>
      <c r="J374" s="4"/>
      <c r="K374" s="4">
        <v>202</v>
      </c>
      <c r="L374" s="4">
        <v>2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2037423.44</v>
      </c>
      <c r="X374" s="4">
        <v>1</v>
      </c>
      <c r="Y374" s="4">
        <v>2037423.44</v>
      </c>
      <c r="Z374" s="4"/>
      <c r="AA374" s="4"/>
      <c r="AB374" s="4"/>
    </row>
    <row r="375" spans="1:206" x14ac:dyDescent="0.2">
      <c r="A375" s="4">
        <v>50</v>
      </c>
      <c r="B375" s="4">
        <v>0</v>
      </c>
      <c r="C375" s="4">
        <v>0</v>
      </c>
      <c r="D375" s="4">
        <v>1</v>
      </c>
      <c r="E375" s="4">
        <v>222</v>
      </c>
      <c r="F375" s="4">
        <f>ROUND(Source!AO371,O375)</f>
        <v>0</v>
      </c>
      <c r="G375" s="4" t="s">
        <v>20</v>
      </c>
      <c r="H375" s="4" t="s">
        <v>21</v>
      </c>
      <c r="I375" s="4"/>
      <c r="J375" s="4"/>
      <c r="K375" s="4">
        <v>222</v>
      </c>
      <c r="L375" s="4">
        <v>3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06" x14ac:dyDescent="0.2">
      <c r="A376" s="4">
        <v>50</v>
      </c>
      <c r="B376" s="4">
        <v>0</v>
      </c>
      <c r="C376" s="4">
        <v>0</v>
      </c>
      <c r="D376" s="4">
        <v>1</v>
      </c>
      <c r="E376" s="4">
        <v>225</v>
      </c>
      <c r="F376" s="4">
        <f>ROUND(Source!AV371,O376)</f>
        <v>2037423.44</v>
      </c>
      <c r="G376" s="4" t="s">
        <v>22</v>
      </c>
      <c r="H376" s="4" t="s">
        <v>23</v>
      </c>
      <c r="I376" s="4"/>
      <c r="J376" s="4"/>
      <c r="K376" s="4">
        <v>225</v>
      </c>
      <c r="L376" s="4">
        <v>4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2037423.44</v>
      </c>
      <c r="X376" s="4">
        <v>1</v>
      </c>
      <c r="Y376" s="4">
        <v>2037423.44</v>
      </c>
      <c r="Z376" s="4"/>
      <c r="AA376" s="4"/>
      <c r="AB376" s="4"/>
    </row>
    <row r="377" spans="1:206" x14ac:dyDescent="0.2">
      <c r="A377" s="4">
        <v>50</v>
      </c>
      <c r="B377" s="4">
        <v>0</v>
      </c>
      <c r="C377" s="4">
        <v>0</v>
      </c>
      <c r="D377" s="4">
        <v>1</v>
      </c>
      <c r="E377" s="4">
        <v>226</v>
      </c>
      <c r="F377" s="4">
        <f>ROUND(Source!AW371,O377)</f>
        <v>2037423.44</v>
      </c>
      <c r="G377" s="4" t="s">
        <v>24</v>
      </c>
      <c r="H377" s="4" t="s">
        <v>25</v>
      </c>
      <c r="I377" s="4"/>
      <c r="J377" s="4"/>
      <c r="K377" s="4">
        <v>226</v>
      </c>
      <c r="L377" s="4">
        <v>5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2037423.44</v>
      </c>
      <c r="X377" s="4">
        <v>1</v>
      </c>
      <c r="Y377" s="4">
        <v>2037423.44</v>
      </c>
      <c r="Z377" s="4"/>
      <c r="AA377" s="4"/>
      <c r="AB377" s="4"/>
    </row>
    <row r="378" spans="1:206" x14ac:dyDescent="0.2">
      <c r="A378" s="4">
        <v>50</v>
      </c>
      <c r="B378" s="4">
        <v>0</v>
      </c>
      <c r="C378" s="4">
        <v>0</v>
      </c>
      <c r="D378" s="4">
        <v>1</v>
      </c>
      <c r="E378" s="4">
        <v>227</v>
      </c>
      <c r="F378" s="4">
        <f>ROUND(Source!AX371,O378)</f>
        <v>0</v>
      </c>
      <c r="G378" s="4" t="s">
        <v>26</v>
      </c>
      <c r="H378" s="4" t="s">
        <v>27</v>
      </c>
      <c r="I378" s="4"/>
      <c r="J378" s="4"/>
      <c r="K378" s="4">
        <v>227</v>
      </c>
      <c r="L378" s="4">
        <v>6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06" x14ac:dyDescent="0.2">
      <c r="A379" s="4">
        <v>50</v>
      </c>
      <c r="B379" s="4">
        <v>0</v>
      </c>
      <c r="C379" s="4">
        <v>0</v>
      </c>
      <c r="D379" s="4">
        <v>1</v>
      </c>
      <c r="E379" s="4">
        <v>228</v>
      </c>
      <c r="F379" s="4">
        <f>ROUND(Source!AY371,O379)</f>
        <v>2037423.44</v>
      </c>
      <c r="G379" s="4" t="s">
        <v>28</v>
      </c>
      <c r="H379" s="4" t="s">
        <v>29</v>
      </c>
      <c r="I379" s="4"/>
      <c r="J379" s="4"/>
      <c r="K379" s="4">
        <v>228</v>
      </c>
      <c r="L379" s="4">
        <v>7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2037423.44</v>
      </c>
      <c r="X379" s="4">
        <v>1</v>
      </c>
      <c r="Y379" s="4">
        <v>2037423.44</v>
      </c>
      <c r="Z379" s="4"/>
      <c r="AA379" s="4"/>
      <c r="AB379" s="4"/>
    </row>
    <row r="380" spans="1:206" x14ac:dyDescent="0.2">
      <c r="A380" s="4">
        <v>50</v>
      </c>
      <c r="B380" s="4">
        <v>0</v>
      </c>
      <c r="C380" s="4">
        <v>0</v>
      </c>
      <c r="D380" s="4">
        <v>1</v>
      </c>
      <c r="E380" s="4">
        <v>216</v>
      </c>
      <c r="F380" s="4">
        <f>ROUND(Source!AP371,O380)</f>
        <v>0</v>
      </c>
      <c r="G380" s="4" t="s">
        <v>30</v>
      </c>
      <c r="H380" s="4" t="s">
        <v>31</v>
      </c>
      <c r="I380" s="4"/>
      <c r="J380" s="4"/>
      <c r="K380" s="4">
        <v>216</v>
      </c>
      <c r="L380" s="4">
        <v>8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06" x14ac:dyDescent="0.2">
      <c r="A381" s="4">
        <v>50</v>
      </c>
      <c r="B381" s="4">
        <v>0</v>
      </c>
      <c r="C381" s="4">
        <v>0</v>
      </c>
      <c r="D381" s="4">
        <v>1</v>
      </c>
      <c r="E381" s="4">
        <v>223</v>
      </c>
      <c r="F381" s="4">
        <f>ROUND(Source!AQ371,O381)</f>
        <v>0</v>
      </c>
      <c r="G381" s="4" t="s">
        <v>32</v>
      </c>
      <c r="H381" s="4" t="s">
        <v>33</v>
      </c>
      <c r="I381" s="4"/>
      <c r="J381" s="4"/>
      <c r="K381" s="4">
        <v>223</v>
      </c>
      <c r="L381" s="4">
        <v>9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06" x14ac:dyDescent="0.2">
      <c r="A382" s="4">
        <v>50</v>
      </c>
      <c r="B382" s="4">
        <v>0</v>
      </c>
      <c r="C382" s="4">
        <v>0</v>
      </c>
      <c r="D382" s="4">
        <v>1</v>
      </c>
      <c r="E382" s="4">
        <v>229</v>
      </c>
      <c r="F382" s="4">
        <f>ROUND(Source!AZ371,O382)</f>
        <v>0</v>
      </c>
      <c r="G382" s="4" t="s">
        <v>34</v>
      </c>
      <c r="H382" s="4" t="s">
        <v>35</v>
      </c>
      <c r="I382" s="4"/>
      <c r="J382" s="4"/>
      <c r="K382" s="4">
        <v>229</v>
      </c>
      <c r="L382" s="4">
        <v>10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06" x14ac:dyDescent="0.2">
      <c r="A383" s="4">
        <v>50</v>
      </c>
      <c r="B383" s="4">
        <v>0</v>
      </c>
      <c r="C383" s="4">
        <v>0</v>
      </c>
      <c r="D383" s="4">
        <v>1</v>
      </c>
      <c r="E383" s="4">
        <v>203</v>
      </c>
      <c r="F383" s="4">
        <f>ROUND(Source!Q371,O383)</f>
        <v>33987.69</v>
      </c>
      <c r="G383" s="4" t="s">
        <v>36</v>
      </c>
      <c r="H383" s="4" t="s">
        <v>37</v>
      </c>
      <c r="I383" s="4"/>
      <c r="J383" s="4"/>
      <c r="K383" s="4">
        <v>203</v>
      </c>
      <c r="L383" s="4">
        <v>11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33987.69</v>
      </c>
      <c r="X383" s="4">
        <v>1</v>
      </c>
      <c r="Y383" s="4">
        <v>33987.69</v>
      </c>
      <c r="Z383" s="4"/>
      <c r="AA383" s="4"/>
      <c r="AB383" s="4"/>
    </row>
    <row r="384" spans="1:206" x14ac:dyDescent="0.2">
      <c r="A384" s="4">
        <v>50</v>
      </c>
      <c r="B384" s="4">
        <v>0</v>
      </c>
      <c r="C384" s="4">
        <v>0</v>
      </c>
      <c r="D384" s="4">
        <v>1</v>
      </c>
      <c r="E384" s="4">
        <v>231</v>
      </c>
      <c r="F384" s="4">
        <f>ROUND(Source!BB371,O384)</f>
        <v>0</v>
      </c>
      <c r="G384" s="4" t="s">
        <v>38</v>
      </c>
      <c r="H384" s="4" t="s">
        <v>39</v>
      </c>
      <c r="I384" s="4"/>
      <c r="J384" s="4"/>
      <c r="K384" s="4">
        <v>231</v>
      </c>
      <c r="L384" s="4">
        <v>12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 x14ac:dyDescent="0.2">
      <c r="A385" s="4">
        <v>50</v>
      </c>
      <c r="B385" s="4">
        <v>0</v>
      </c>
      <c r="C385" s="4">
        <v>0</v>
      </c>
      <c r="D385" s="4">
        <v>1</v>
      </c>
      <c r="E385" s="4">
        <v>204</v>
      </c>
      <c r="F385" s="4">
        <f>ROUND(Source!R371,O385)</f>
        <v>15487.29</v>
      </c>
      <c r="G385" s="4" t="s">
        <v>40</v>
      </c>
      <c r="H385" s="4" t="s">
        <v>41</v>
      </c>
      <c r="I385" s="4"/>
      <c r="J385" s="4"/>
      <c r="K385" s="4">
        <v>204</v>
      </c>
      <c r="L385" s="4">
        <v>13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15487.29</v>
      </c>
      <c r="X385" s="4">
        <v>1</v>
      </c>
      <c r="Y385" s="4">
        <v>15487.29</v>
      </c>
      <c r="Z385" s="4"/>
      <c r="AA385" s="4"/>
      <c r="AB385" s="4"/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205</v>
      </c>
      <c r="F386" s="4">
        <f>ROUND(Source!S371,O386)</f>
        <v>201831.92</v>
      </c>
      <c r="G386" s="4" t="s">
        <v>42</v>
      </c>
      <c r="H386" s="4" t="s">
        <v>43</v>
      </c>
      <c r="I386" s="4"/>
      <c r="J386" s="4"/>
      <c r="K386" s="4">
        <v>205</v>
      </c>
      <c r="L386" s="4">
        <v>14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201831.91999999998</v>
      </c>
      <c r="X386" s="4">
        <v>1</v>
      </c>
      <c r="Y386" s="4">
        <v>201831.91999999998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232</v>
      </c>
      <c r="F387" s="4">
        <f>ROUND(Source!BC371,O387)</f>
        <v>0</v>
      </c>
      <c r="G387" s="4" t="s">
        <v>44</v>
      </c>
      <c r="H387" s="4" t="s">
        <v>45</v>
      </c>
      <c r="I387" s="4"/>
      <c r="J387" s="4"/>
      <c r="K387" s="4">
        <v>232</v>
      </c>
      <c r="L387" s="4">
        <v>15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214</v>
      </c>
      <c r="F388" s="4">
        <f>ROUND(Source!AS371,O388)</f>
        <v>2154157.86</v>
      </c>
      <c r="G388" s="4" t="s">
        <v>46</v>
      </c>
      <c r="H388" s="4" t="s">
        <v>47</v>
      </c>
      <c r="I388" s="4"/>
      <c r="J388" s="4"/>
      <c r="K388" s="4">
        <v>214</v>
      </c>
      <c r="L388" s="4">
        <v>16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261226.39</v>
      </c>
      <c r="X388" s="4">
        <v>1</v>
      </c>
      <c r="Y388" s="4">
        <v>261226.39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215</v>
      </c>
      <c r="F389" s="4">
        <f>ROUND(Source!AT371,O389)</f>
        <v>211389.08</v>
      </c>
      <c r="G389" s="4" t="s">
        <v>48</v>
      </c>
      <c r="H389" s="4" t="s">
        <v>49</v>
      </c>
      <c r="I389" s="4"/>
      <c r="J389" s="4"/>
      <c r="K389" s="4">
        <v>215</v>
      </c>
      <c r="L389" s="4">
        <v>17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211389.08</v>
      </c>
      <c r="X389" s="4">
        <v>1</v>
      </c>
      <c r="Y389" s="4">
        <v>211389.08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217</v>
      </c>
      <c r="F390" s="4">
        <f>ROUND(Source!AU371,O390)</f>
        <v>214319.44</v>
      </c>
      <c r="G390" s="4" t="s">
        <v>50</v>
      </c>
      <c r="H390" s="4" t="s">
        <v>51</v>
      </c>
      <c r="I390" s="4"/>
      <c r="J390" s="4"/>
      <c r="K390" s="4">
        <v>217</v>
      </c>
      <c r="L390" s="4">
        <v>18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214319.44</v>
      </c>
      <c r="X390" s="4">
        <v>1</v>
      </c>
      <c r="Y390" s="4">
        <v>214319.44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230</v>
      </c>
      <c r="F391" s="4">
        <f>ROUND(Source!BA371,O391)</f>
        <v>0</v>
      </c>
      <c r="G391" s="4" t="s">
        <v>52</v>
      </c>
      <c r="H391" s="4" t="s">
        <v>53</v>
      </c>
      <c r="I391" s="4"/>
      <c r="J391" s="4"/>
      <c r="K391" s="4">
        <v>230</v>
      </c>
      <c r="L391" s="4">
        <v>19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206</v>
      </c>
      <c r="F392" s="4">
        <f>ROUND(Source!T371,O392)</f>
        <v>0</v>
      </c>
      <c r="G392" s="4" t="s">
        <v>54</v>
      </c>
      <c r="H392" s="4" t="s">
        <v>55</v>
      </c>
      <c r="I392" s="4"/>
      <c r="J392" s="4"/>
      <c r="K392" s="4">
        <v>206</v>
      </c>
      <c r="L392" s="4">
        <v>20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207</v>
      </c>
      <c r="F393" s="4">
        <f>ROUND(Source!U371,O393)</f>
        <v>372.91467840000001</v>
      </c>
      <c r="G393" s="4" t="s">
        <v>56</v>
      </c>
      <c r="H393" s="4" t="s">
        <v>57</v>
      </c>
      <c r="I393" s="4"/>
      <c r="J393" s="4"/>
      <c r="K393" s="4">
        <v>207</v>
      </c>
      <c r="L393" s="4">
        <v>21</v>
      </c>
      <c r="M393" s="4">
        <v>3</v>
      </c>
      <c r="N393" s="4" t="s">
        <v>3</v>
      </c>
      <c r="O393" s="4">
        <v>7</v>
      </c>
      <c r="P393" s="4"/>
      <c r="Q393" s="4"/>
      <c r="R393" s="4"/>
      <c r="S393" s="4"/>
      <c r="T393" s="4"/>
      <c r="U393" s="4"/>
      <c r="V393" s="4"/>
      <c r="W393" s="4">
        <v>372.91467840000001</v>
      </c>
      <c r="X393" s="4">
        <v>1</v>
      </c>
      <c r="Y393" s="4">
        <v>372.91467840000001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208</v>
      </c>
      <c r="F394" s="4">
        <f>ROUND(Source!V371,O394)</f>
        <v>25.910122000000001</v>
      </c>
      <c r="G394" s="4" t="s">
        <v>58</v>
      </c>
      <c r="H394" s="4" t="s">
        <v>59</v>
      </c>
      <c r="I394" s="4"/>
      <c r="J394" s="4"/>
      <c r="K394" s="4">
        <v>208</v>
      </c>
      <c r="L394" s="4">
        <v>22</v>
      </c>
      <c r="M394" s="4">
        <v>3</v>
      </c>
      <c r="N394" s="4" t="s">
        <v>3</v>
      </c>
      <c r="O394" s="4">
        <v>7</v>
      </c>
      <c r="P394" s="4"/>
      <c r="Q394" s="4"/>
      <c r="R394" s="4"/>
      <c r="S394" s="4"/>
      <c r="T394" s="4"/>
      <c r="U394" s="4"/>
      <c r="V394" s="4"/>
      <c r="W394" s="4">
        <v>25.910122000000001</v>
      </c>
      <c r="X394" s="4">
        <v>1</v>
      </c>
      <c r="Y394" s="4">
        <v>25.910122000000001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209</v>
      </c>
      <c r="F395" s="4">
        <f>ROUND(Source!W371,O395)</f>
        <v>0</v>
      </c>
      <c r="G395" s="4" t="s">
        <v>60</v>
      </c>
      <c r="H395" s="4" t="s">
        <v>61</v>
      </c>
      <c r="I395" s="4"/>
      <c r="J395" s="4"/>
      <c r="K395" s="4">
        <v>209</v>
      </c>
      <c r="L395" s="4">
        <v>23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233</v>
      </c>
      <c r="F396" s="4">
        <f>ROUND(Source!BD371,O396)</f>
        <v>0</v>
      </c>
      <c r="G396" s="4" t="s">
        <v>62</v>
      </c>
      <c r="H396" s="4" t="s">
        <v>63</v>
      </c>
      <c r="I396" s="4"/>
      <c r="J396" s="4"/>
      <c r="K396" s="4">
        <v>233</v>
      </c>
      <c r="L396" s="4">
        <v>24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210</v>
      </c>
      <c r="F397" s="4">
        <f>ROUND(Source!X371,O397)</f>
        <v>190280.14</v>
      </c>
      <c r="G397" s="4" t="s">
        <v>64</v>
      </c>
      <c r="H397" s="4" t="s">
        <v>65</v>
      </c>
      <c r="I397" s="4"/>
      <c r="J397" s="4"/>
      <c r="K397" s="4">
        <v>210</v>
      </c>
      <c r="L397" s="4">
        <v>25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190280.14</v>
      </c>
      <c r="X397" s="4">
        <v>1</v>
      </c>
      <c r="Y397" s="4">
        <v>190280.14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211</v>
      </c>
      <c r="F398" s="4">
        <f>ROUND(Source!Y371,O398)</f>
        <v>100855.9</v>
      </c>
      <c r="G398" s="4" t="s">
        <v>66</v>
      </c>
      <c r="H398" s="4" t="s">
        <v>67</v>
      </c>
      <c r="I398" s="4"/>
      <c r="J398" s="4"/>
      <c r="K398" s="4">
        <v>211</v>
      </c>
      <c r="L398" s="4">
        <v>26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100855.9</v>
      </c>
      <c r="X398" s="4">
        <v>1</v>
      </c>
      <c r="Y398" s="4">
        <v>100855.9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224</v>
      </c>
      <c r="F399" s="4">
        <f>ROUND(Source!AR371,O399)</f>
        <v>2579866.38</v>
      </c>
      <c r="G399" s="4" t="s">
        <v>68</v>
      </c>
      <c r="H399" s="4" t="s">
        <v>69</v>
      </c>
      <c r="I399" s="4"/>
      <c r="J399" s="4"/>
      <c r="K399" s="4">
        <v>224</v>
      </c>
      <c r="L399" s="4">
        <v>27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2579866.38</v>
      </c>
      <c r="X399" s="4">
        <v>1</v>
      </c>
      <c r="Y399" s="4">
        <v>2579866.38</v>
      </c>
      <c r="Z399" s="4"/>
      <c r="AA399" s="4"/>
      <c r="AB399" s="4"/>
    </row>
    <row r="401" spans="1:16" x14ac:dyDescent="0.2">
      <c r="A401">
        <v>71</v>
      </c>
      <c r="B401">
        <v>1</v>
      </c>
      <c r="D401">
        <v>200001</v>
      </c>
      <c r="E401">
        <v>56151601</v>
      </c>
      <c r="F401" t="s">
        <v>429</v>
      </c>
      <c r="G401" t="s">
        <v>430</v>
      </c>
      <c r="H401">
        <v>80</v>
      </c>
      <c r="I401">
        <v>20</v>
      </c>
    </row>
    <row r="404" spans="1:16" x14ac:dyDescent="0.2">
      <c r="A404">
        <v>70</v>
      </c>
      <c r="B404">
        <v>1</v>
      </c>
      <c r="D404">
        <v>1</v>
      </c>
      <c r="E404" t="s">
        <v>431</v>
      </c>
      <c r="F404" t="s">
        <v>432</v>
      </c>
      <c r="G404">
        <v>1</v>
      </c>
      <c r="H404">
        <v>0</v>
      </c>
      <c r="I404" t="s">
        <v>3</v>
      </c>
      <c r="J404">
        <v>1</v>
      </c>
      <c r="K404">
        <v>0</v>
      </c>
      <c r="L404" t="s">
        <v>3</v>
      </c>
      <c r="M404" t="s">
        <v>3</v>
      </c>
      <c r="N404">
        <v>0</v>
      </c>
      <c r="P404" t="s">
        <v>433</v>
      </c>
    </row>
    <row r="405" spans="1:16" x14ac:dyDescent="0.2">
      <c r="A405">
        <v>70</v>
      </c>
      <c r="B405">
        <v>1</v>
      </c>
      <c r="D405">
        <v>2</v>
      </c>
      <c r="E405" t="s">
        <v>434</v>
      </c>
      <c r="F405" t="s">
        <v>435</v>
      </c>
      <c r="G405">
        <v>0</v>
      </c>
      <c r="H405">
        <v>0</v>
      </c>
      <c r="I405" t="s">
        <v>3</v>
      </c>
      <c r="J405">
        <v>1</v>
      </c>
      <c r="K405">
        <v>0</v>
      </c>
      <c r="L405" t="s">
        <v>3</v>
      </c>
      <c r="M405" t="s">
        <v>3</v>
      </c>
      <c r="N405">
        <v>0</v>
      </c>
      <c r="P405" t="s">
        <v>436</v>
      </c>
    </row>
    <row r="406" spans="1:16" x14ac:dyDescent="0.2">
      <c r="A406">
        <v>70</v>
      </c>
      <c r="B406">
        <v>1</v>
      </c>
      <c r="D406">
        <v>3</v>
      </c>
      <c r="E406" t="s">
        <v>437</v>
      </c>
      <c r="F406" t="s">
        <v>438</v>
      </c>
      <c r="G406">
        <v>0</v>
      </c>
      <c r="H406">
        <v>0</v>
      </c>
      <c r="I406" t="s">
        <v>3</v>
      </c>
      <c r="J406">
        <v>1</v>
      </c>
      <c r="K406">
        <v>0</v>
      </c>
      <c r="L406" t="s">
        <v>3</v>
      </c>
      <c r="M406" t="s">
        <v>3</v>
      </c>
      <c r="N406">
        <v>0</v>
      </c>
      <c r="P406" t="s">
        <v>439</v>
      </c>
    </row>
    <row r="407" spans="1:16" x14ac:dyDescent="0.2">
      <c r="A407">
        <v>70</v>
      </c>
      <c r="B407">
        <v>1</v>
      </c>
      <c r="D407">
        <v>4</v>
      </c>
      <c r="E407" t="s">
        <v>440</v>
      </c>
      <c r="F407" t="s">
        <v>441</v>
      </c>
      <c r="G407">
        <v>1</v>
      </c>
      <c r="H407">
        <v>0</v>
      </c>
      <c r="I407" t="s">
        <v>3</v>
      </c>
      <c r="J407">
        <v>2</v>
      </c>
      <c r="K407">
        <v>0</v>
      </c>
      <c r="L407" t="s">
        <v>3</v>
      </c>
      <c r="M407" t="s">
        <v>3</v>
      </c>
      <c r="N407">
        <v>0</v>
      </c>
      <c r="P407" t="s">
        <v>3</v>
      </c>
    </row>
    <row r="408" spans="1:16" x14ac:dyDescent="0.2">
      <c r="A408">
        <v>70</v>
      </c>
      <c r="B408">
        <v>1</v>
      </c>
      <c r="D408">
        <v>5</v>
      </c>
      <c r="E408" t="s">
        <v>442</v>
      </c>
      <c r="F408" t="s">
        <v>443</v>
      </c>
      <c r="G408">
        <v>0</v>
      </c>
      <c r="H408">
        <v>0</v>
      </c>
      <c r="I408" t="s">
        <v>3</v>
      </c>
      <c r="J408">
        <v>2</v>
      </c>
      <c r="K408">
        <v>0</v>
      </c>
      <c r="L408" t="s">
        <v>3</v>
      </c>
      <c r="M408" t="s">
        <v>3</v>
      </c>
      <c r="N408">
        <v>0</v>
      </c>
      <c r="P408" t="s">
        <v>3</v>
      </c>
    </row>
    <row r="409" spans="1:16" x14ac:dyDescent="0.2">
      <c r="A409">
        <v>70</v>
      </c>
      <c r="B409">
        <v>1</v>
      </c>
      <c r="D409">
        <v>6</v>
      </c>
      <c r="E409" t="s">
        <v>444</v>
      </c>
      <c r="F409" t="s">
        <v>445</v>
      </c>
      <c r="G409">
        <v>0</v>
      </c>
      <c r="H409">
        <v>0</v>
      </c>
      <c r="I409" t="s">
        <v>3</v>
      </c>
      <c r="J409">
        <v>2</v>
      </c>
      <c r="K409">
        <v>0</v>
      </c>
      <c r="L409" t="s">
        <v>3</v>
      </c>
      <c r="M409" t="s">
        <v>3</v>
      </c>
      <c r="N409">
        <v>0</v>
      </c>
      <c r="P409" t="s">
        <v>3</v>
      </c>
    </row>
    <row r="410" spans="1:16" x14ac:dyDescent="0.2">
      <c r="A410">
        <v>70</v>
      </c>
      <c r="B410">
        <v>1</v>
      </c>
      <c r="D410">
        <v>7</v>
      </c>
      <c r="E410" t="s">
        <v>446</v>
      </c>
      <c r="F410" t="s">
        <v>447</v>
      </c>
      <c r="G410">
        <v>0</v>
      </c>
      <c r="H410">
        <v>0</v>
      </c>
      <c r="I410" t="s">
        <v>448</v>
      </c>
      <c r="J410">
        <v>0</v>
      </c>
      <c r="K410">
        <v>0</v>
      </c>
      <c r="L410" t="s">
        <v>3</v>
      </c>
      <c r="M410" t="s">
        <v>3</v>
      </c>
      <c r="N410">
        <v>0</v>
      </c>
      <c r="P410" t="s">
        <v>449</v>
      </c>
    </row>
    <row r="411" spans="1:16" x14ac:dyDescent="0.2">
      <c r="A411">
        <v>70</v>
      </c>
      <c r="B411">
        <v>1</v>
      </c>
      <c r="D411">
        <v>8</v>
      </c>
      <c r="E411" t="s">
        <v>450</v>
      </c>
      <c r="F411" t="s">
        <v>451</v>
      </c>
      <c r="G411">
        <v>1</v>
      </c>
      <c r="H411">
        <v>0</v>
      </c>
      <c r="I411" t="s">
        <v>3</v>
      </c>
      <c r="J411">
        <v>5</v>
      </c>
      <c r="K411">
        <v>0</v>
      </c>
      <c r="L411" t="s">
        <v>3</v>
      </c>
      <c r="M411" t="s">
        <v>3</v>
      </c>
      <c r="N411">
        <v>0</v>
      </c>
      <c r="P411" t="s">
        <v>3</v>
      </c>
    </row>
    <row r="412" spans="1:16" x14ac:dyDescent="0.2">
      <c r="A412">
        <v>70</v>
      </c>
      <c r="B412">
        <v>1</v>
      </c>
      <c r="D412">
        <v>9</v>
      </c>
      <c r="E412" t="s">
        <v>452</v>
      </c>
      <c r="F412" t="s">
        <v>453</v>
      </c>
      <c r="G412">
        <v>0</v>
      </c>
      <c r="H412">
        <v>0</v>
      </c>
      <c r="I412" t="s">
        <v>3</v>
      </c>
      <c r="J412">
        <v>5</v>
      </c>
      <c r="K412">
        <v>0</v>
      </c>
      <c r="L412" t="s">
        <v>3</v>
      </c>
      <c r="M412" t="s">
        <v>3</v>
      </c>
      <c r="N412">
        <v>0</v>
      </c>
      <c r="P412" t="s">
        <v>454</v>
      </c>
    </row>
    <row r="413" spans="1:16" x14ac:dyDescent="0.2">
      <c r="A413">
        <v>70</v>
      </c>
      <c r="B413">
        <v>1</v>
      </c>
      <c r="D413">
        <v>10</v>
      </c>
      <c r="E413" t="s">
        <v>455</v>
      </c>
      <c r="F413" t="s">
        <v>456</v>
      </c>
      <c r="G413">
        <v>0</v>
      </c>
      <c r="H413">
        <v>0</v>
      </c>
      <c r="I413" t="s">
        <v>457</v>
      </c>
      <c r="J413">
        <v>5</v>
      </c>
      <c r="K413">
        <v>0</v>
      </c>
      <c r="L413" t="s">
        <v>3</v>
      </c>
      <c r="M413" t="s">
        <v>3</v>
      </c>
      <c r="N413">
        <v>0</v>
      </c>
      <c r="P413" t="s">
        <v>458</v>
      </c>
    </row>
    <row r="414" spans="1:16" x14ac:dyDescent="0.2">
      <c r="A414">
        <v>70</v>
      </c>
      <c r="B414">
        <v>1</v>
      </c>
      <c r="D414">
        <v>11</v>
      </c>
      <c r="E414" t="s">
        <v>459</v>
      </c>
      <c r="F414" t="s">
        <v>460</v>
      </c>
      <c r="G414">
        <v>0</v>
      </c>
      <c r="H414">
        <v>0</v>
      </c>
      <c r="I414" t="s">
        <v>461</v>
      </c>
      <c r="J414">
        <v>0</v>
      </c>
      <c r="K414">
        <v>0</v>
      </c>
      <c r="L414" t="s">
        <v>3</v>
      </c>
      <c r="M414" t="s">
        <v>3</v>
      </c>
      <c r="N414">
        <v>0</v>
      </c>
      <c r="P414" t="s">
        <v>462</v>
      </c>
    </row>
    <row r="415" spans="1:16" x14ac:dyDescent="0.2">
      <c r="A415">
        <v>70</v>
      </c>
      <c r="B415">
        <v>1</v>
      </c>
      <c r="D415">
        <v>12</v>
      </c>
      <c r="E415" t="s">
        <v>463</v>
      </c>
      <c r="F415" t="s">
        <v>464</v>
      </c>
      <c r="G415">
        <v>0</v>
      </c>
      <c r="H415">
        <v>0</v>
      </c>
      <c r="I415" t="s">
        <v>465</v>
      </c>
      <c r="J415">
        <v>0</v>
      </c>
      <c r="K415">
        <v>0</v>
      </c>
      <c r="L415" t="s">
        <v>3</v>
      </c>
      <c r="M415" t="s">
        <v>3</v>
      </c>
      <c r="N415">
        <v>0</v>
      </c>
      <c r="P415" t="s">
        <v>466</v>
      </c>
    </row>
    <row r="416" spans="1:16" x14ac:dyDescent="0.2">
      <c r="A416">
        <v>70</v>
      </c>
      <c r="B416">
        <v>1</v>
      </c>
      <c r="D416">
        <v>13</v>
      </c>
      <c r="E416" t="s">
        <v>467</v>
      </c>
      <c r="F416" t="s">
        <v>468</v>
      </c>
      <c r="G416">
        <v>0</v>
      </c>
      <c r="H416">
        <v>0</v>
      </c>
      <c r="I416" t="s">
        <v>469</v>
      </c>
      <c r="J416">
        <v>0</v>
      </c>
      <c r="K416">
        <v>0</v>
      </c>
      <c r="L416" t="s">
        <v>3</v>
      </c>
      <c r="M416" t="s">
        <v>3</v>
      </c>
      <c r="N416">
        <v>0</v>
      </c>
      <c r="P416" t="s">
        <v>470</v>
      </c>
    </row>
    <row r="417" spans="1:50" x14ac:dyDescent="0.2">
      <c r="A417">
        <v>70</v>
      </c>
      <c r="B417">
        <v>1</v>
      </c>
      <c r="D417">
        <v>14</v>
      </c>
      <c r="E417" t="s">
        <v>471</v>
      </c>
      <c r="F417" t="s">
        <v>472</v>
      </c>
      <c r="G417">
        <v>0</v>
      </c>
      <c r="H417">
        <v>0</v>
      </c>
      <c r="I417" t="s">
        <v>3</v>
      </c>
      <c r="J417">
        <v>0</v>
      </c>
      <c r="K417">
        <v>0</v>
      </c>
      <c r="L417" t="s">
        <v>3</v>
      </c>
      <c r="M417" t="s">
        <v>3</v>
      </c>
      <c r="N417">
        <v>0</v>
      </c>
      <c r="P417" t="s">
        <v>3</v>
      </c>
    </row>
    <row r="418" spans="1:50" x14ac:dyDescent="0.2">
      <c r="A418">
        <v>70</v>
      </c>
      <c r="B418">
        <v>1</v>
      </c>
      <c r="D418">
        <v>15</v>
      </c>
      <c r="E418" t="s">
        <v>473</v>
      </c>
      <c r="F418" t="s">
        <v>474</v>
      </c>
      <c r="G418">
        <v>0</v>
      </c>
      <c r="H418">
        <v>0</v>
      </c>
      <c r="I418" t="s">
        <v>3</v>
      </c>
      <c r="J418">
        <v>0</v>
      </c>
      <c r="K418">
        <v>0</v>
      </c>
      <c r="L418" t="s">
        <v>3</v>
      </c>
      <c r="M418" t="s">
        <v>3</v>
      </c>
      <c r="N418">
        <v>0</v>
      </c>
      <c r="P418" t="s">
        <v>475</v>
      </c>
    </row>
    <row r="419" spans="1:50" x14ac:dyDescent="0.2">
      <c r="A419">
        <v>70</v>
      </c>
      <c r="B419">
        <v>1</v>
      </c>
      <c r="D419">
        <v>16</v>
      </c>
      <c r="E419" t="s">
        <v>476</v>
      </c>
      <c r="F419" t="s">
        <v>477</v>
      </c>
      <c r="G419">
        <v>0</v>
      </c>
      <c r="H419">
        <v>0</v>
      </c>
      <c r="I419" t="s">
        <v>3</v>
      </c>
      <c r="J419">
        <v>3</v>
      </c>
      <c r="K419">
        <v>0</v>
      </c>
      <c r="L419" t="s">
        <v>3</v>
      </c>
      <c r="M419" t="s">
        <v>3</v>
      </c>
      <c r="N419">
        <v>0</v>
      </c>
      <c r="P419" t="s">
        <v>3</v>
      </c>
    </row>
    <row r="420" spans="1:50" x14ac:dyDescent="0.2">
      <c r="A420">
        <v>70</v>
      </c>
      <c r="B420">
        <v>1</v>
      </c>
      <c r="D420">
        <v>17</v>
      </c>
      <c r="E420" t="s">
        <v>478</v>
      </c>
      <c r="F420" t="s">
        <v>479</v>
      </c>
      <c r="G420">
        <v>1</v>
      </c>
      <c r="H420">
        <v>0</v>
      </c>
      <c r="I420" t="s">
        <v>3</v>
      </c>
      <c r="J420">
        <v>3</v>
      </c>
      <c r="K420">
        <v>0</v>
      </c>
      <c r="L420" t="s">
        <v>3</v>
      </c>
      <c r="M420" t="s">
        <v>3</v>
      </c>
      <c r="N420">
        <v>0</v>
      </c>
      <c r="P420" t="s">
        <v>3</v>
      </c>
    </row>
    <row r="421" spans="1:50" x14ac:dyDescent="0.2">
      <c r="A421">
        <v>70</v>
      </c>
      <c r="B421">
        <v>1</v>
      </c>
      <c r="D421">
        <v>1</v>
      </c>
      <c r="E421" t="s">
        <v>480</v>
      </c>
      <c r="F421" t="s">
        <v>481</v>
      </c>
      <c r="G421">
        <v>0.9</v>
      </c>
      <c r="H421">
        <v>1</v>
      </c>
      <c r="I421" t="s">
        <v>482</v>
      </c>
      <c r="J421">
        <v>0</v>
      </c>
      <c r="K421">
        <v>0</v>
      </c>
      <c r="L421" t="s">
        <v>3</v>
      </c>
      <c r="M421" t="s">
        <v>3</v>
      </c>
      <c r="N421">
        <v>0</v>
      </c>
      <c r="P421" t="s">
        <v>483</v>
      </c>
    </row>
    <row r="422" spans="1:50" x14ac:dyDescent="0.2">
      <c r="A422">
        <v>70</v>
      </c>
      <c r="B422">
        <v>1</v>
      </c>
      <c r="D422">
        <v>2</v>
      </c>
      <c r="E422" t="s">
        <v>484</v>
      </c>
      <c r="F422" t="s">
        <v>485</v>
      </c>
      <c r="G422">
        <v>0.85</v>
      </c>
      <c r="H422">
        <v>1</v>
      </c>
      <c r="I422" t="s">
        <v>486</v>
      </c>
      <c r="J422">
        <v>0</v>
      </c>
      <c r="K422">
        <v>0</v>
      </c>
      <c r="L422" t="s">
        <v>3</v>
      </c>
      <c r="M422" t="s">
        <v>3</v>
      </c>
      <c r="N422">
        <v>0</v>
      </c>
      <c r="P422" t="s">
        <v>487</v>
      </c>
    </row>
    <row r="423" spans="1:50" x14ac:dyDescent="0.2">
      <c r="A423">
        <v>70</v>
      </c>
      <c r="B423">
        <v>1</v>
      </c>
      <c r="D423">
        <v>3</v>
      </c>
      <c r="E423" t="s">
        <v>488</v>
      </c>
      <c r="F423" t="s">
        <v>489</v>
      </c>
      <c r="G423">
        <v>1.03</v>
      </c>
      <c r="H423">
        <v>0</v>
      </c>
      <c r="I423" t="s">
        <v>3</v>
      </c>
      <c r="J423">
        <v>0</v>
      </c>
      <c r="K423">
        <v>0</v>
      </c>
      <c r="L423" t="s">
        <v>3</v>
      </c>
      <c r="M423" t="s">
        <v>3</v>
      </c>
      <c r="N423">
        <v>0</v>
      </c>
      <c r="P423" t="s">
        <v>490</v>
      </c>
    </row>
    <row r="424" spans="1:50" x14ac:dyDescent="0.2">
      <c r="A424">
        <v>70</v>
      </c>
      <c r="B424">
        <v>1</v>
      </c>
      <c r="D424">
        <v>4</v>
      </c>
      <c r="E424" t="s">
        <v>491</v>
      </c>
      <c r="F424" t="s">
        <v>492</v>
      </c>
      <c r="G424">
        <v>1.1499999999999999</v>
      </c>
      <c r="H424">
        <v>0</v>
      </c>
      <c r="I424" t="s">
        <v>3</v>
      </c>
      <c r="J424">
        <v>0</v>
      </c>
      <c r="K424">
        <v>0</v>
      </c>
      <c r="L424" t="s">
        <v>3</v>
      </c>
      <c r="M424" t="s">
        <v>3</v>
      </c>
      <c r="N424">
        <v>0</v>
      </c>
      <c r="P424" t="s">
        <v>493</v>
      </c>
    </row>
    <row r="425" spans="1:50" x14ac:dyDescent="0.2">
      <c r="A425">
        <v>70</v>
      </c>
      <c r="B425">
        <v>1</v>
      </c>
      <c r="D425">
        <v>5</v>
      </c>
      <c r="E425" t="s">
        <v>494</v>
      </c>
      <c r="F425" t="s">
        <v>495</v>
      </c>
      <c r="G425">
        <v>7</v>
      </c>
      <c r="H425">
        <v>0</v>
      </c>
      <c r="I425" t="s">
        <v>3</v>
      </c>
      <c r="J425">
        <v>0</v>
      </c>
      <c r="K425">
        <v>0</v>
      </c>
      <c r="L425" t="s">
        <v>3</v>
      </c>
      <c r="M425" t="s">
        <v>3</v>
      </c>
      <c r="N425">
        <v>0</v>
      </c>
      <c r="P425" t="s">
        <v>3</v>
      </c>
    </row>
    <row r="426" spans="1:50" x14ac:dyDescent="0.2">
      <c r="A426">
        <v>70</v>
      </c>
      <c r="B426">
        <v>1</v>
      </c>
      <c r="D426">
        <v>6</v>
      </c>
      <c r="E426" t="s">
        <v>496</v>
      </c>
      <c r="F426" t="s">
        <v>3</v>
      </c>
      <c r="G426">
        <v>2</v>
      </c>
      <c r="H426">
        <v>0</v>
      </c>
      <c r="I426" t="s">
        <v>3</v>
      </c>
      <c r="J426">
        <v>0</v>
      </c>
      <c r="K426">
        <v>0</v>
      </c>
      <c r="L426" t="s">
        <v>3</v>
      </c>
      <c r="M426" t="s">
        <v>3</v>
      </c>
      <c r="N426">
        <v>0</v>
      </c>
      <c r="P426" t="s">
        <v>3</v>
      </c>
    </row>
    <row r="428" spans="1:50" x14ac:dyDescent="0.2">
      <c r="A428">
        <v>-1</v>
      </c>
    </row>
    <row r="430" spans="1:50" x14ac:dyDescent="0.2">
      <c r="A430" s="3">
        <v>75</v>
      </c>
      <c r="B430" s="3" t="s">
        <v>497</v>
      </c>
      <c r="C430" s="3">
        <v>2024</v>
      </c>
      <c r="D430" s="3">
        <v>0</v>
      </c>
      <c r="E430" s="3">
        <v>12</v>
      </c>
      <c r="F430" s="3">
        <v>1</v>
      </c>
      <c r="G430" s="3">
        <v>0</v>
      </c>
      <c r="H430" s="3">
        <v>1</v>
      </c>
      <c r="I430" s="3">
        <v>0</v>
      </c>
      <c r="J430" s="3">
        <v>3</v>
      </c>
      <c r="K430" s="3">
        <v>0</v>
      </c>
      <c r="L430" s="3">
        <v>0</v>
      </c>
      <c r="M430" s="3">
        <v>0</v>
      </c>
      <c r="N430" s="3">
        <v>65170852</v>
      </c>
      <c r="O430" s="3">
        <v>1</v>
      </c>
    </row>
    <row r="431" spans="1:50" x14ac:dyDescent="0.2">
      <c r="A431" s="5">
        <v>2</v>
      </c>
      <c r="B431" s="5" t="s">
        <v>498</v>
      </c>
      <c r="C431" s="5" t="s">
        <v>499</v>
      </c>
      <c r="D431" s="5">
        <v>0</v>
      </c>
      <c r="E431" s="5">
        <v>0</v>
      </c>
      <c r="F431" s="5">
        <v>0</v>
      </c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>
        <v>65170853</v>
      </c>
    </row>
    <row r="432" spans="1:50" x14ac:dyDescent="0.2">
      <c r="A432" s="5">
        <v>1</v>
      </c>
      <c r="B432" s="5" t="s">
        <v>500</v>
      </c>
      <c r="C432" s="5" t="s">
        <v>501</v>
      </c>
      <c r="D432" s="5">
        <v>2024</v>
      </c>
      <c r="E432" s="5">
        <v>12</v>
      </c>
      <c r="F432" s="5">
        <v>1</v>
      </c>
      <c r="G432" s="5">
        <v>1</v>
      </c>
      <c r="H432" s="5">
        <v>0</v>
      </c>
      <c r="I432" s="5">
        <v>2</v>
      </c>
      <c r="J432" s="5">
        <v>1</v>
      </c>
      <c r="K432" s="5">
        <v>1</v>
      </c>
      <c r="L432" s="5">
        <v>1</v>
      </c>
      <c r="M432" s="5">
        <v>1</v>
      </c>
      <c r="N432" s="5">
        <v>1</v>
      </c>
      <c r="O432" s="5">
        <v>1</v>
      </c>
      <c r="P432" s="5">
        <v>1</v>
      </c>
      <c r="Q432" s="5">
        <v>1</v>
      </c>
      <c r="R432" s="5" t="s">
        <v>3</v>
      </c>
      <c r="S432" s="5" t="s">
        <v>3</v>
      </c>
      <c r="T432" s="5" t="s">
        <v>3</v>
      </c>
      <c r="U432" s="5" t="s">
        <v>3</v>
      </c>
      <c r="V432" s="5" t="s">
        <v>3</v>
      </c>
      <c r="W432" s="5" t="s">
        <v>3</v>
      </c>
      <c r="X432" s="5" t="s">
        <v>3</v>
      </c>
      <c r="Y432" s="5" t="s">
        <v>3</v>
      </c>
      <c r="Z432" s="5" t="s">
        <v>3</v>
      </c>
      <c r="AA432" s="5" t="s">
        <v>3</v>
      </c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>
        <v>65170854</v>
      </c>
      <c r="AO432" s="5" t="s">
        <v>502</v>
      </c>
      <c r="AP432" s="5" t="s">
        <v>503</v>
      </c>
      <c r="AQ432" s="5">
        <v>45621</v>
      </c>
      <c r="AR432" s="5">
        <v>361</v>
      </c>
      <c r="AS432" s="5" t="s">
        <v>504</v>
      </c>
      <c r="AT432" s="5" t="s">
        <v>3</v>
      </c>
      <c r="AU432" s="5" t="s">
        <v>503</v>
      </c>
      <c r="AV432" s="5"/>
      <c r="AW432" s="5">
        <v>0</v>
      </c>
      <c r="AX432" s="5" t="s">
        <v>505</v>
      </c>
    </row>
    <row r="436" spans="1:5" x14ac:dyDescent="0.2">
      <c r="A436">
        <v>65</v>
      </c>
      <c r="C436">
        <v>1</v>
      </c>
      <c r="D436">
        <v>0</v>
      </c>
      <c r="E43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506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3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45603</v>
      </c>
      <c r="CT12" s="1">
        <v>505</v>
      </c>
      <c r="CU12" s="1">
        <v>12</v>
      </c>
      <c r="CV12" s="1" t="s">
        <v>786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65170852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15</v>
      </c>
      <c r="D16" s="6" t="s">
        <v>70</v>
      </c>
      <c r="E16" s="7">
        <f>ROUND((Source!F355)/1000,2)</f>
        <v>2154.16</v>
      </c>
      <c r="F16" s="7">
        <f>ROUND((Source!F356)/1000,2)</f>
        <v>211.39</v>
      </c>
      <c r="G16" s="7">
        <f>ROUND((Source!F347)/1000,2)</f>
        <v>0</v>
      </c>
      <c r="H16" s="7">
        <f>ROUND((Source!F357)/1000+(Source!F358)/1000,2)</f>
        <v>214.32</v>
      </c>
      <c r="I16" s="7">
        <f>E16+F16+G16+H16</f>
        <v>2579.87</v>
      </c>
      <c r="J16" s="7">
        <f>ROUND((Source!F353+Source!F352)/1000,2)</f>
        <v>217.32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2288730.34</v>
      </c>
      <c r="AU16" s="7">
        <v>2037423.44</v>
      </c>
      <c r="AV16" s="7">
        <v>0</v>
      </c>
      <c r="AW16" s="7">
        <v>0</v>
      </c>
      <c r="AX16" s="7">
        <v>0</v>
      </c>
      <c r="AY16" s="7">
        <v>33987.69</v>
      </c>
      <c r="AZ16" s="7">
        <v>15487.29</v>
      </c>
      <c r="BA16" s="7">
        <v>201831.92000000004</v>
      </c>
      <c r="BB16" s="7">
        <v>261226.39</v>
      </c>
      <c r="BC16" s="7">
        <v>211389.08</v>
      </c>
      <c r="BD16" s="7">
        <v>214319.44</v>
      </c>
      <c r="BE16" s="7">
        <v>0</v>
      </c>
      <c r="BF16" s="7">
        <v>372.91467840000001</v>
      </c>
      <c r="BG16" s="7">
        <v>25.910122000000001</v>
      </c>
      <c r="BH16" s="7">
        <v>0</v>
      </c>
      <c r="BI16" s="7">
        <v>190280.14</v>
      </c>
      <c r="BJ16" s="7">
        <v>100855.9</v>
      </c>
      <c r="BK16" s="7">
        <v>2579866.38</v>
      </c>
    </row>
    <row r="18" spans="1:19" x14ac:dyDescent="0.2">
      <c r="A18">
        <v>51</v>
      </c>
      <c r="E18" s="8">
        <f>SUMIF(A16:A17,3,E16:E17)</f>
        <v>2154.16</v>
      </c>
      <c r="F18" s="8">
        <f>SUMIF(A16:A17,3,F16:F17)</f>
        <v>211.39</v>
      </c>
      <c r="G18" s="8">
        <f>SUMIF(A16:A17,3,G16:G17)</f>
        <v>0</v>
      </c>
      <c r="H18" s="8">
        <f>SUMIF(A16:A17,3,H16:H17)</f>
        <v>214.32</v>
      </c>
      <c r="I18" s="8">
        <f>SUMIF(A16:A17,3,I16:I17)</f>
        <v>2579.87</v>
      </c>
      <c r="J18" s="8">
        <f>SUMIF(A16:A17,3,J16:J17)</f>
        <v>217.32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2288730.34</v>
      </c>
      <c r="G20" s="4" t="s">
        <v>16</v>
      </c>
      <c r="H20" s="4" t="s">
        <v>17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2037423.44</v>
      </c>
      <c r="G21" s="4" t="s">
        <v>18</v>
      </c>
      <c r="H21" s="4" t="s">
        <v>19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20</v>
      </c>
      <c r="H22" s="4" t="s">
        <v>21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2037423.44</v>
      </c>
      <c r="G23" s="4" t="s">
        <v>22</v>
      </c>
      <c r="H23" s="4" t="s">
        <v>23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2037423.44</v>
      </c>
      <c r="G24" s="4" t="s">
        <v>24</v>
      </c>
      <c r="H24" s="4" t="s">
        <v>25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26</v>
      </c>
      <c r="H25" s="4" t="s">
        <v>27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2037423.44</v>
      </c>
      <c r="G26" s="4" t="s">
        <v>28</v>
      </c>
      <c r="H26" s="4" t="s">
        <v>29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30</v>
      </c>
      <c r="H27" s="4" t="s">
        <v>31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32</v>
      </c>
      <c r="H28" s="4" t="s">
        <v>33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34</v>
      </c>
      <c r="H29" s="4" t="s">
        <v>35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33987.69</v>
      </c>
      <c r="G30" s="4" t="s">
        <v>36</v>
      </c>
      <c r="H30" s="4" t="s">
        <v>37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38</v>
      </c>
      <c r="H31" s="4" t="s">
        <v>39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15487.29</v>
      </c>
      <c r="G32" s="4" t="s">
        <v>40</v>
      </c>
      <c r="H32" s="4" t="s">
        <v>41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201831.91999999998</v>
      </c>
      <c r="G33" s="4" t="s">
        <v>42</v>
      </c>
      <c r="H33" s="4" t="s">
        <v>43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44</v>
      </c>
      <c r="H34" s="4" t="s">
        <v>45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261226.39</v>
      </c>
      <c r="G35" s="4" t="s">
        <v>46</v>
      </c>
      <c r="H35" s="4" t="s">
        <v>47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211389.08</v>
      </c>
      <c r="G36" s="4" t="s">
        <v>48</v>
      </c>
      <c r="H36" s="4" t="s">
        <v>49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214319.44</v>
      </c>
      <c r="G37" s="4" t="s">
        <v>50</v>
      </c>
      <c r="H37" s="4" t="s">
        <v>51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52</v>
      </c>
      <c r="H38" s="4" t="s">
        <v>53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54</v>
      </c>
      <c r="H39" s="4" t="s">
        <v>55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372.91467840000001</v>
      </c>
      <c r="G40" s="4" t="s">
        <v>56</v>
      </c>
      <c r="H40" s="4" t="s">
        <v>57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25.910122000000001</v>
      </c>
      <c r="G41" s="4" t="s">
        <v>58</v>
      </c>
      <c r="H41" s="4" t="s">
        <v>59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60</v>
      </c>
      <c r="H42" s="4" t="s">
        <v>61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62</v>
      </c>
      <c r="H43" s="4" t="s">
        <v>63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190280.14</v>
      </c>
      <c r="G44" s="4" t="s">
        <v>64</v>
      </c>
      <c r="H44" s="4" t="s">
        <v>65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100855.9</v>
      </c>
      <c r="G45" s="4" t="s">
        <v>66</v>
      </c>
      <c r="H45" s="4" t="s">
        <v>67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2579866.38</v>
      </c>
      <c r="G46" s="4" t="s">
        <v>68</v>
      </c>
      <c r="H46" s="4" t="s">
        <v>69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497</v>
      </c>
      <c r="C51" s="3">
        <v>2024</v>
      </c>
      <c r="D51" s="3">
        <v>0</v>
      </c>
      <c r="E51" s="3">
        <v>12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65170852</v>
      </c>
      <c r="O51" s="3">
        <v>1</v>
      </c>
    </row>
    <row r="52" spans="1:50" x14ac:dyDescent="0.2">
      <c r="A52" s="5">
        <v>2</v>
      </c>
      <c r="B52" s="5" t="s">
        <v>498</v>
      </c>
      <c r="C52" s="5" t="s">
        <v>499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65170853</v>
      </c>
    </row>
    <row r="53" spans="1:50" x14ac:dyDescent="0.2">
      <c r="A53" s="5">
        <v>1</v>
      </c>
      <c r="B53" s="5" t="s">
        <v>500</v>
      </c>
      <c r="C53" s="5" t="s">
        <v>501</v>
      </c>
      <c r="D53" s="5">
        <v>2024</v>
      </c>
      <c r="E53" s="5">
        <v>12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65170854</v>
      </c>
      <c r="AO53" s="5" t="s">
        <v>502</v>
      </c>
      <c r="AP53" s="5" t="s">
        <v>503</v>
      </c>
      <c r="AQ53" s="5">
        <v>45621</v>
      </c>
      <c r="AR53" s="5">
        <v>361</v>
      </c>
      <c r="AS53" s="5" t="s">
        <v>504</v>
      </c>
      <c r="AT53" s="5" t="s">
        <v>3</v>
      </c>
      <c r="AU53" s="5" t="s">
        <v>503</v>
      </c>
      <c r="AV53" s="5"/>
      <c r="AW53" s="5">
        <v>0</v>
      </c>
      <c r="AX53" s="5" t="s">
        <v>505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40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ROW(Source!A62)</f>
        <v>62</v>
      </c>
      <c r="B1">
        <v>65170852</v>
      </c>
      <c r="C1">
        <v>65170992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507</v>
      </c>
      <c r="J1" t="s">
        <v>3</v>
      </c>
      <c r="K1" t="s">
        <v>508</v>
      </c>
      <c r="L1">
        <v>1191</v>
      </c>
      <c r="N1">
        <v>1013</v>
      </c>
      <c r="O1" t="s">
        <v>509</v>
      </c>
      <c r="P1" t="s">
        <v>509</v>
      </c>
      <c r="Q1">
        <v>1</v>
      </c>
      <c r="W1">
        <v>0</v>
      </c>
      <c r="X1">
        <v>784619160</v>
      </c>
      <c r="Y1">
        <f>(AT1*ROUND(0.8,7))</f>
        <v>53.44</v>
      </c>
      <c r="AA1">
        <v>0</v>
      </c>
      <c r="AB1">
        <v>0</v>
      </c>
      <c r="AC1">
        <v>0</v>
      </c>
      <c r="AD1">
        <v>446.62</v>
      </c>
      <c r="AE1">
        <v>0</v>
      </c>
      <c r="AF1">
        <v>0</v>
      </c>
      <c r="AG1">
        <v>0</v>
      </c>
      <c r="AH1">
        <v>446.62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66.8</v>
      </c>
      <c r="AU1" t="s">
        <v>79</v>
      </c>
      <c r="AV1">
        <v>1</v>
      </c>
      <c r="AW1">
        <v>2</v>
      </c>
      <c r="AX1">
        <v>65171001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29834.216</v>
      </c>
      <c r="BN1">
        <v>66.8</v>
      </c>
      <c r="BO1">
        <v>0</v>
      </c>
      <c r="BP1">
        <v>1</v>
      </c>
      <c r="BQ1">
        <v>0</v>
      </c>
      <c r="BR1">
        <v>0</v>
      </c>
      <c r="BS1">
        <v>0</v>
      </c>
      <c r="BT1">
        <v>23867.372800000001</v>
      </c>
      <c r="BU1">
        <v>53.44</v>
      </c>
      <c r="BV1">
        <v>0</v>
      </c>
      <c r="BW1">
        <v>1</v>
      </c>
      <c r="CU1">
        <f>ROUND(AT1*Source!I62*AH1*AL1,2)</f>
        <v>298.33999999999997</v>
      </c>
      <c r="CV1">
        <f>ROUND(Y1*Source!I62,7)</f>
        <v>0.53439999999999999</v>
      </c>
      <c r="CW1">
        <v>0</v>
      </c>
      <c r="CX1">
        <f>ROUND(Y1*Source!I62,7)</f>
        <v>0.53439999999999999</v>
      </c>
      <c r="CY1">
        <f>AD1</f>
        <v>446.62</v>
      </c>
      <c r="CZ1">
        <f>AH1</f>
        <v>446.62</v>
      </c>
      <c r="DA1">
        <f>AL1</f>
        <v>1</v>
      </c>
      <c r="DB1">
        <f>ROUND((ROUND(AT1*CZ1,2)*ROUND(0.8,7)),6)</f>
        <v>23867.376</v>
      </c>
      <c r="DC1">
        <f>ROUND((ROUND(AT1*AG1,2)*ROUND(0.8,7)),6)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 t="shared" ref="DH1:DH64" si="0">ROUND(ROUND(AG1,2)*CX1,2)</f>
        <v>0</v>
      </c>
      <c r="DI1">
        <f>ROUND(ROUND(AH1,2)*CX1,2)</f>
        <v>238.67</v>
      </c>
      <c r="DJ1">
        <f>DI1</f>
        <v>238.67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ROW(Source!A62)</f>
        <v>62</v>
      </c>
      <c r="B2">
        <v>65170852</v>
      </c>
      <c r="C2">
        <v>65170992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510</v>
      </c>
      <c r="J2" t="s">
        <v>3</v>
      </c>
      <c r="K2" t="s">
        <v>511</v>
      </c>
      <c r="L2">
        <v>1191</v>
      </c>
      <c r="N2">
        <v>1013</v>
      </c>
      <c r="O2" t="s">
        <v>509</v>
      </c>
      <c r="P2" t="s">
        <v>509</v>
      </c>
      <c r="Q2">
        <v>1</v>
      </c>
      <c r="W2">
        <v>0</v>
      </c>
      <c r="X2">
        <v>-1417349443</v>
      </c>
      <c r="Y2">
        <f>(AT2*ROUND(0.8,7))</f>
        <v>21.648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27.06</v>
      </c>
      <c r="AU2" t="s">
        <v>79</v>
      </c>
      <c r="AV2">
        <v>2</v>
      </c>
      <c r="AW2">
        <v>2</v>
      </c>
      <c r="AX2">
        <v>65171002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ROUND(Y2*Source!I62,7)</f>
        <v>0.21648000000000001</v>
      </c>
      <c r="CY2">
        <f>AD2</f>
        <v>0</v>
      </c>
      <c r="CZ2">
        <f>AH2</f>
        <v>0</v>
      </c>
      <c r="DA2">
        <f>AL2</f>
        <v>1</v>
      </c>
      <c r="DB2">
        <f>ROUND((ROUND(AT2*CZ2,2)*ROUND(0.8,7)),6)</f>
        <v>0</v>
      </c>
      <c r="DC2">
        <f>ROUND((ROUND(AT2*AG2,2)*ROUND(0.8,7)),6)</f>
        <v>0</v>
      </c>
      <c r="DD2" t="s">
        <v>3</v>
      </c>
      <c r="DE2" t="s">
        <v>3</v>
      </c>
      <c r="DF2">
        <f>ROUND(ROUND(AE2,2)*CX2,2)</f>
        <v>0</v>
      </c>
      <c r="DG2">
        <f>ROUND(ROUND(AF2,2)*CX2,2)</f>
        <v>0</v>
      </c>
      <c r="DH2">
        <f t="shared" si="0"/>
        <v>0</v>
      </c>
      <c r="DI2">
        <f>ROUND(ROUND(AH2,2)*CX2,2)</f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ROW(Source!A62)</f>
        <v>62</v>
      </c>
      <c r="B3">
        <v>65170852</v>
      </c>
      <c r="C3">
        <v>65170992</v>
      </c>
      <c r="D3">
        <v>56571417</v>
      </c>
      <c r="E3">
        <v>1</v>
      </c>
      <c r="F3">
        <v>1</v>
      </c>
      <c r="G3">
        <v>1</v>
      </c>
      <c r="H3">
        <v>2</v>
      </c>
      <c r="I3" t="s">
        <v>512</v>
      </c>
      <c r="J3" t="s">
        <v>513</v>
      </c>
      <c r="K3" t="s">
        <v>514</v>
      </c>
      <c r="L3">
        <v>1368</v>
      </c>
      <c r="N3">
        <v>1011</v>
      </c>
      <c r="O3" t="s">
        <v>515</v>
      </c>
      <c r="P3" t="s">
        <v>515</v>
      </c>
      <c r="Q3">
        <v>1</v>
      </c>
      <c r="W3">
        <v>0</v>
      </c>
      <c r="X3">
        <v>-848025172</v>
      </c>
      <c r="Y3">
        <f>(AT3*ROUND(0.8,7))</f>
        <v>2.8800000000000003</v>
      </c>
      <c r="AA3">
        <v>0</v>
      </c>
      <c r="AB3">
        <v>1551.19</v>
      </c>
      <c r="AC3">
        <v>658.94</v>
      </c>
      <c r="AD3">
        <v>0</v>
      </c>
      <c r="AE3">
        <v>0</v>
      </c>
      <c r="AF3">
        <v>1551.19</v>
      </c>
      <c r="AG3">
        <v>658.94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3.6</v>
      </c>
      <c r="AU3" t="s">
        <v>79</v>
      </c>
      <c r="AV3">
        <v>1</v>
      </c>
      <c r="AW3">
        <v>2</v>
      </c>
      <c r="AX3">
        <v>65171003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5584.2840000000006</v>
      </c>
      <c r="BL3">
        <v>2372.1840000000002</v>
      </c>
      <c r="BM3">
        <v>0</v>
      </c>
      <c r="BN3">
        <v>0</v>
      </c>
      <c r="BO3">
        <v>3.6</v>
      </c>
      <c r="BP3">
        <v>1</v>
      </c>
      <c r="BQ3">
        <v>0</v>
      </c>
      <c r="BR3">
        <v>4467.427200000001</v>
      </c>
      <c r="BS3">
        <v>1897.7472000000005</v>
      </c>
      <c r="BT3">
        <v>0</v>
      </c>
      <c r="BU3">
        <v>0</v>
      </c>
      <c r="BV3">
        <v>2.8800000000000003</v>
      </c>
      <c r="BW3">
        <v>1</v>
      </c>
      <c r="CV3">
        <v>0</v>
      </c>
      <c r="CW3">
        <f>ROUND(Y3*Source!I62*DO3,7)</f>
        <v>2.8799999999999999E-2</v>
      </c>
      <c r="CX3">
        <f>ROUND(Y3*Source!I62,7)</f>
        <v>2.8799999999999999E-2</v>
      </c>
      <c r="CY3">
        <f>AB3</f>
        <v>1551.19</v>
      </c>
      <c r="CZ3">
        <f>AF3</f>
        <v>1551.19</v>
      </c>
      <c r="DA3">
        <f>AJ3</f>
        <v>1</v>
      </c>
      <c r="DB3">
        <f>ROUND((ROUND(AT3*CZ3,2)*ROUND(0.8,7)),6)</f>
        <v>4467.424</v>
      </c>
      <c r="DC3">
        <f>ROUND((ROUND(AT3*AG3,2)*ROUND(0.8,7)),6)</f>
        <v>1897.7439999999999</v>
      </c>
      <c r="DD3" t="s">
        <v>3</v>
      </c>
      <c r="DE3" t="s">
        <v>3</v>
      </c>
      <c r="DF3">
        <f>ROUND(ROUND(AE3,2)*CX3,2)</f>
        <v>0</v>
      </c>
      <c r="DG3">
        <f>ROUND(ROUND(AF3,2)*CX3,2)</f>
        <v>44.67</v>
      </c>
      <c r="DH3">
        <f t="shared" si="0"/>
        <v>18.98</v>
      </c>
      <c r="DI3">
        <f>ROUND(ROUND(AH3,2)*CX3,2)</f>
        <v>0</v>
      </c>
      <c r="DJ3">
        <f>DG3+DH3</f>
        <v>63.650000000000006</v>
      </c>
      <c r="DK3">
        <v>1</v>
      </c>
      <c r="DL3" t="s">
        <v>516</v>
      </c>
      <c r="DM3">
        <v>6</v>
      </c>
      <c r="DN3" t="s">
        <v>509</v>
      </c>
      <c r="DO3">
        <v>1</v>
      </c>
    </row>
    <row r="4" spans="1:119" x14ac:dyDescent="0.2">
      <c r="A4">
        <f>ROW(Source!A62)</f>
        <v>62</v>
      </c>
      <c r="B4">
        <v>65170852</v>
      </c>
      <c r="C4">
        <v>65170992</v>
      </c>
      <c r="D4">
        <v>56571433</v>
      </c>
      <c r="E4">
        <v>1</v>
      </c>
      <c r="F4">
        <v>1</v>
      </c>
      <c r="G4">
        <v>1</v>
      </c>
      <c r="H4">
        <v>2</v>
      </c>
      <c r="I4" t="s">
        <v>517</v>
      </c>
      <c r="J4" t="s">
        <v>518</v>
      </c>
      <c r="K4" t="s">
        <v>519</v>
      </c>
      <c r="L4">
        <v>1368</v>
      </c>
      <c r="N4">
        <v>1011</v>
      </c>
      <c r="O4" t="s">
        <v>515</v>
      </c>
      <c r="P4" t="s">
        <v>515</v>
      </c>
      <c r="Q4">
        <v>1</v>
      </c>
      <c r="W4">
        <v>0</v>
      </c>
      <c r="X4">
        <v>-1087419069</v>
      </c>
      <c r="Y4">
        <f>(AT4*ROUND(0.8,7))</f>
        <v>14.56</v>
      </c>
      <c r="AA4">
        <v>0</v>
      </c>
      <c r="AB4">
        <v>2180.2199999999998</v>
      </c>
      <c r="AC4">
        <v>658.94</v>
      </c>
      <c r="AD4">
        <v>0</v>
      </c>
      <c r="AE4">
        <v>0</v>
      </c>
      <c r="AF4">
        <v>1703.3</v>
      </c>
      <c r="AG4">
        <v>658.94</v>
      </c>
      <c r="AH4">
        <v>0</v>
      </c>
      <c r="AI4">
        <v>1</v>
      </c>
      <c r="AJ4">
        <v>1.28</v>
      </c>
      <c r="AK4">
        <v>1</v>
      </c>
      <c r="AL4">
        <v>1</v>
      </c>
      <c r="AM4">
        <v>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3</v>
      </c>
      <c r="AT4">
        <v>18.2</v>
      </c>
      <c r="AU4" t="s">
        <v>79</v>
      </c>
      <c r="AV4">
        <v>1</v>
      </c>
      <c r="AW4">
        <v>2</v>
      </c>
      <c r="AX4">
        <v>65171004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31000.059999999998</v>
      </c>
      <c r="BL4">
        <v>11992.708000000001</v>
      </c>
      <c r="BM4">
        <v>0</v>
      </c>
      <c r="BN4">
        <v>0</v>
      </c>
      <c r="BO4">
        <v>18.2</v>
      </c>
      <c r="BP4">
        <v>1</v>
      </c>
      <c r="BQ4">
        <v>0</v>
      </c>
      <c r="BR4">
        <v>24800.047999999999</v>
      </c>
      <c r="BS4">
        <v>9594.1664000000019</v>
      </c>
      <c r="BT4">
        <v>0</v>
      </c>
      <c r="BU4">
        <v>0</v>
      </c>
      <c r="BV4">
        <v>14.56</v>
      </c>
      <c r="BW4">
        <v>1</v>
      </c>
      <c r="CV4">
        <v>0</v>
      </c>
      <c r="CW4">
        <f>ROUND(Y4*Source!I62*DO4,7)</f>
        <v>0.14560000000000001</v>
      </c>
      <c r="CX4">
        <f>ROUND(Y4*Source!I62,7)</f>
        <v>0.14560000000000001</v>
      </c>
      <c r="CY4">
        <f>AB4</f>
        <v>2180.2199999999998</v>
      </c>
      <c r="CZ4">
        <f>AF4</f>
        <v>1703.3</v>
      </c>
      <c r="DA4">
        <f>AJ4</f>
        <v>1.28</v>
      </c>
      <c r="DB4">
        <f>ROUND((ROUND(AT4*CZ4,2)*ROUND(0.8,7)),6)</f>
        <v>24800.047999999999</v>
      </c>
      <c r="DC4">
        <f>ROUND((ROUND(AT4*AG4,2)*ROUND(0.8,7)),6)</f>
        <v>9594.1679999999997</v>
      </c>
      <c r="DD4" t="s">
        <v>3</v>
      </c>
      <c r="DE4" t="s">
        <v>3</v>
      </c>
      <c r="DF4">
        <f>ROUND(ROUND(AE4,2)*CX4,2)</f>
        <v>0</v>
      </c>
      <c r="DG4">
        <f>ROUND(ROUND(AF4*AJ4,2)*CX4,2)</f>
        <v>317.44</v>
      </c>
      <c r="DH4">
        <f t="shared" si="0"/>
        <v>95.94</v>
      </c>
      <c r="DI4">
        <f>ROUND(ROUND(AH4,2)*CX4,2)</f>
        <v>0</v>
      </c>
      <c r="DJ4">
        <f>DG4+DH4</f>
        <v>413.38</v>
      </c>
      <c r="DK4">
        <v>0</v>
      </c>
      <c r="DL4" t="s">
        <v>516</v>
      </c>
      <c r="DM4">
        <v>6</v>
      </c>
      <c r="DN4" t="s">
        <v>509</v>
      </c>
      <c r="DO4">
        <v>1</v>
      </c>
    </row>
    <row r="5" spans="1:119" x14ac:dyDescent="0.2">
      <c r="A5">
        <f>ROW(Source!A62)</f>
        <v>62</v>
      </c>
      <c r="B5">
        <v>65170852</v>
      </c>
      <c r="C5">
        <v>65170992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520</v>
      </c>
      <c r="J5" t="s">
        <v>521</v>
      </c>
      <c r="K5" t="s">
        <v>522</v>
      </c>
      <c r="L5">
        <v>1368</v>
      </c>
      <c r="N5">
        <v>1011</v>
      </c>
      <c r="O5" t="s">
        <v>515</v>
      </c>
      <c r="P5" t="s">
        <v>515</v>
      </c>
      <c r="Q5">
        <v>1</v>
      </c>
      <c r="W5">
        <v>0</v>
      </c>
      <c r="X5">
        <v>1230426758</v>
      </c>
      <c r="Y5">
        <f>(AT5*ROUND(0.8,7))</f>
        <v>4.2080000000000002</v>
      </c>
      <c r="AA5">
        <v>0</v>
      </c>
      <c r="AB5">
        <v>578.28</v>
      </c>
      <c r="AC5">
        <v>490.55</v>
      </c>
      <c r="AD5">
        <v>0</v>
      </c>
      <c r="AE5">
        <v>0</v>
      </c>
      <c r="AF5">
        <v>477.92</v>
      </c>
      <c r="AG5">
        <v>490.55</v>
      </c>
      <c r="AH5">
        <v>0</v>
      </c>
      <c r="AI5">
        <v>1</v>
      </c>
      <c r="AJ5">
        <v>1.21</v>
      </c>
      <c r="AK5">
        <v>1</v>
      </c>
      <c r="AL5">
        <v>1</v>
      </c>
      <c r="AM5">
        <v>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5.26</v>
      </c>
      <c r="AU5" t="s">
        <v>79</v>
      </c>
      <c r="AV5">
        <v>1</v>
      </c>
      <c r="AW5">
        <v>2</v>
      </c>
      <c r="AX5">
        <v>65171005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2513.8591999999999</v>
      </c>
      <c r="BL5">
        <v>2580.2930000000001</v>
      </c>
      <c r="BM5">
        <v>0</v>
      </c>
      <c r="BN5">
        <v>0</v>
      </c>
      <c r="BO5">
        <v>5.26</v>
      </c>
      <c r="BP5">
        <v>1</v>
      </c>
      <c r="BQ5">
        <v>0</v>
      </c>
      <c r="BR5">
        <v>2011.0873600000002</v>
      </c>
      <c r="BS5">
        <v>2064.2344000000003</v>
      </c>
      <c r="BT5">
        <v>0</v>
      </c>
      <c r="BU5">
        <v>0</v>
      </c>
      <c r="BV5">
        <v>4.2080000000000002</v>
      </c>
      <c r="BW5">
        <v>1</v>
      </c>
      <c r="CV5">
        <v>0</v>
      </c>
      <c r="CW5">
        <f>ROUND(Y5*Source!I62*DO5,7)</f>
        <v>4.2079999999999999E-2</v>
      </c>
      <c r="CX5">
        <f>ROUND(Y5*Source!I62,7)</f>
        <v>4.2079999999999999E-2</v>
      </c>
      <c r="CY5">
        <f>AB5</f>
        <v>578.28</v>
      </c>
      <c r="CZ5">
        <f>AF5</f>
        <v>477.92</v>
      </c>
      <c r="DA5">
        <f>AJ5</f>
        <v>1.21</v>
      </c>
      <c r="DB5">
        <f>ROUND((ROUND(AT5*CZ5,2)*ROUND(0.8,7)),6)</f>
        <v>2011.088</v>
      </c>
      <c r="DC5">
        <f>ROUND((ROUND(AT5*AG5,2)*ROUND(0.8,7)),6)</f>
        <v>2064.232</v>
      </c>
      <c r="DD5" t="s">
        <v>3</v>
      </c>
      <c r="DE5" t="s">
        <v>3</v>
      </c>
      <c r="DF5">
        <f>ROUND(ROUND(AE5,2)*CX5,2)</f>
        <v>0</v>
      </c>
      <c r="DG5">
        <f>ROUND(ROUND(AF5*AJ5,2)*CX5,2)</f>
        <v>24.33</v>
      </c>
      <c r="DH5">
        <f t="shared" si="0"/>
        <v>20.64</v>
      </c>
      <c r="DI5">
        <f>ROUND(ROUND(AH5,2)*CX5,2)</f>
        <v>0</v>
      </c>
      <c r="DJ5">
        <f>DG5+DH5</f>
        <v>44.97</v>
      </c>
      <c r="DK5">
        <v>0</v>
      </c>
      <c r="DL5" t="s">
        <v>523</v>
      </c>
      <c r="DM5">
        <v>4</v>
      </c>
      <c r="DN5" t="s">
        <v>509</v>
      </c>
      <c r="DO5">
        <v>1</v>
      </c>
    </row>
    <row r="6" spans="1:119" x14ac:dyDescent="0.2">
      <c r="A6">
        <f>ROW(Source!A62)</f>
        <v>62</v>
      </c>
      <c r="B6">
        <v>65170852</v>
      </c>
      <c r="C6">
        <v>65170992</v>
      </c>
      <c r="D6">
        <v>56218682</v>
      </c>
      <c r="E6">
        <v>108</v>
      </c>
      <c r="F6">
        <v>1</v>
      </c>
      <c r="G6">
        <v>1</v>
      </c>
      <c r="H6">
        <v>3</v>
      </c>
      <c r="I6" t="s">
        <v>524</v>
      </c>
      <c r="J6" t="s">
        <v>3</v>
      </c>
      <c r="K6" t="s">
        <v>525</v>
      </c>
      <c r="L6">
        <v>1339</v>
      </c>
      <c r="N6">
        <v>1007</v>
      </c>
      <c r="O6" t="s">
        <v>129</v>
      </c>
      <c r="P6" t="s">
        <v>129</v>
      </c>
      <c r="Q6">
        <v>1</v>
      </c>
      <c r="W6">
        <v>0</v>
      </c>
      <c r="X6">
        <v>-157982121</v>
      </c>
      <c r="Y6">
        <f>(AT6*ROUND(0,7))</f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0</v>
      </c>
      <c r="AP6">
        <v>1</v>
      </c>
      <c r="AQ6">
        <v>1</v>
      </c>
      <c r="AR6">
        <v>0</v>
      </c>
      <c r="AS6" t="s">
        <v>3</v>
      </c>
      <c r="AT6">
        <v>0.71</v>
      </c>
      <c r="AU6" t="s">
        <v>97</v>
      </c>
      <c r="AV6">
        <v>0</v>
      </c>
      <c r="AW6">
        <v>2</v>
      </c>
      <c r="AX6">
        <v>65171006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ROUND(Y6*Source!I62,7)</f>
        <v>0</v>
      </c>
      <c r="CY6">
        <f>AA6</f>
        <v>0</v>
      </c>
      <c r="CZ6">
        <f>AE6</f>
        <v>0</v>
      </c>
      <c r="DA6">
        <f>AI6</f>
        <v>1</v>
      </c>
      <c r="DB6">
        <f>ROUND(((ROUND(AT6*CZ6,2)*ROUND(0,7))*ROUND(1.01,7)),6)</f>
        <v>0</v>
      </c>
      <c r="DC6">
        <f>ROUND((ROUND(AT6*AG6,2)*ROUND(0,7)),6)</f>
        <v>0</v>
      </c>
      <c r="DD6" t="s">
        <v>526</v>
      </c>
      <c r="DE6" t="s">
        <v>3</v>
      </c>
      <c r="DF6">
        <f>ROUND((ROUND(AE6,2)*ROUND(1.01,7))*CX6,2)</f>
        <v>0</v>
      </c>
      <c r="DG6">
        <f>ROUND((ROUND(AF6,2)*ROUND(1.01,7))*CX6,2)</f>
        <v>0</v>
      </c>
      <c r="DH6">
        <f t="shared" si="0"/>
        <v>0</v>
      </c>
      <c r="DI6">
        <f>ROUND((ROUND(AH6,2)*ROUND(1.01,7))*CX6,2)</f>
        <v>0</v>
      </c>
      <c r="DJ6">
        <f>DF6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ROW(Source!A62)</f>
        <v>62</v>
      </c>
      <c r="B7">
        <v>65170852</v>
      </c>
      <c r="C7">
        <v>65170992</v>
      </c>
      <c r="D7">
        <v>56584225</v>
      </c>
      <c r="E7">
        <v>1</v>
      </c>
      <c r="F7">
        <v>1</v>
      </c>
      <c r="G7">
        <v>1</v>
      </c>
      <c r="H7">
        <v>3</v>
      </c>
      <c r="I7" t="s">
        <v>527</v>
      </c>
      <c r="J7" t="s">
        <v>528</v>
      </c>
      <c r="K7" t="s">
        <v>529</v>
      </c>
      <c r="L7">
        <v>1339</v>
      </c>
      <c r="N7">
        <v>1007</v>
      </c>
      <c r="O7" t="s">
        <v>129</v>
      </c>
      <c r="P7" t="s">
        <v>129</v>
      </c>
      <c r="Q7">
        <v>1</v>
      </c>
      <c r="W7">
        <v>0</v>
      </c>
      <c r="X7">
        <v>-1043681967</v>
      </c>
      <c r="Y7">
        <f>(AT7*ROUND(0,7))</f>
        <v>0</v>
      </c>
      <c r="AA7">
        <v>4534.34</v>
      </c>
      <c r="AB7">
        <v>0</v>
      </c>
      <c r="AC7">
        <v>0</v>
      </c>
      <c r="AD7">
        <v>0</v>
      </c>
      <c r="AE7">
        <v>3778.62</v>
      </c>
      <c r="AF7">
        <v>0</v>
      </c>
      <c r="AG7">
        <v>0</v>
      </c>
      <c r="AH7">
        <v>0</v>
      </c>
      <c r="AI7">
        <v>1.2</v>
      </c>
      <c r="AJ7">
        <v>1</v>
      </c>
      <c r="AK7">
        <v>1</v>
      </c>
      <c r="AL7">
        <v>1</v>
      </c>
      <c r="AM7">
        <v>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3</v>
      </c>
      <c r="AT7">
        <v>1.65</v>
      </c>
      <c r="AU7" t="s">
        <v>97</v>
      </c>
      <c r="AV7">
        <v>0</v>
      </c>
      <c r="AW7">
        <v>2</v>
      </c>
      <c r="AX7">
        <v>65171007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6234.722999999999</v>
      </c>
      <c r="BK7">
        <v>0</v>
      </c>
      <c r="BL7">
        <v>0</v>
      </c>
      <c r="BM7">
        <v>0</v>
      </c>
      <c r="BN7">
        <v>0</v>
      </c>
      <c r="BO7">
        <v>0</v>
      </c>
      <c r="BP7">
        <v>1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ROUND(Y7*Source!I62,7)</f>
        <v>0</v>
      </c>
      <c r="CY7">
        <f>AA7</f>
        <v>4534.34</v>
      </c>
      <c r="CZ7">
        <f>AE7</f>
        <v>3778.62</v>
      </c>
      <c r="DA7">
        <f>AI7</f>
        <v>1.2</v>
      </c>
      <c r="DB7">
        <f>ROUND(((ROUND(AT7*CZ7,2)*ROUND(0,7))*ROUND(1.01,7)),6)</f>
        <v>0</v>
      </c>
      <c r="DC7">
        <f>ROUND((ROUND(AT7*AG7,2)*ROUND(0,7)),6)</f>
        <v>0</v>
      </c>
      <c r="DD7" t="s">
        <v>526</v>
      </c>
      <c r="DE7" t="s">
        <v>3</v>
      </c>
      <c r="DF7">
        <f>ROUND((ROUND(AE7*AI7,2)*ROUND(1.01,7))*CX7,2)</f>
        <v>0</v>
      </c>
      <c r="DG7">
        <f>ROUND((ROUND(AF7,2)*ROUND(1.01,7))*CX7,2)</f>
        <v>0</v>
      </c>
      <c r="DH7">
        <f t="shared" si="0"/>
        <v>0</v>
      </c>
      <c r="DI7">
        <f>ROUND((ROUND(AH7,2)*ROUND(1.01,7))*CX7,2)</f>
        <v>0</v>
      </c>
      <c r="DJ7">
        <f>DF7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ROW(Source!A62)</f>
        <v>62</v>
      </c>
      <c r="B8">
        <v>65170852</v>
      </c>
      <c r="C8">
        <v>65170992</v>
      </c>
      <c r="D8">
        <v>56219261</v>
      </c>
      <c r="E8">
        <v>108</v>
      </c>
      <c r="F8">
        <v>1</v>
      </c>
      <c r="G8">
        <v>1</v>
      </c>
      <c r="H8">
        <v>3</v>
      </c>
      <c r="I8" t="s">
        <v>530</v>
      </c>
      <c r="J8" t="s">
        <v>3</v>
      </c>
      <c r="K8" t="s">
        <v>531</v>
      </c>
      <c r="L8">
        <v>1371</v>
      </c>
      <c r="N8">
        <v>1013</v>
      </c>
      <c r="O8" t="s">
        <v>220</v>
      </c>
      <c r="P8" t="s">
        <v>220</v>
      </c>
      <c r="Q8">
        <v>1</v>
      </c>
      <c r="W8">
        <v>0</v>
      </c>
      <c r="X8">
        <v>1757280489</v>
      </c>
      <c r="Y8">
        <f>(AT8*ROUND(0,7))</f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100</v>
      </c>
      <c r="AU8" t="s">
        <v>97</v>
      </c>
      <c r="AV8">
        <v>0</v>
      </c>
      <c r="AW8">
        <v>2</v>
      </c>
      <c r="AX8">
        <v>65171008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ROUND(Y8*Source!I62,7)</f>
        <v>0</v>
      </c>
      <c r="CY8">
        <f>AA8</f>
        <v>0</v>
      </c>
      <c r="CZ8">
        <f>AE8</f>
        <v>0</v>
      </c>
      <c r="DA8">
        <f>AI8</f>
        <v>1</v>
      </c>
      <c r="DB8">
        <f>ROUND(((ROUND(AT8*CZ8,2)*ROUND(0,7))*ROUND(1.01,7)),6)</f>
        <v>0</v>
      </c>
      <c r="DC8">
        <f>ROUND((ROUND(AT8*AG8,2)*ROUND(0,7)),6)</f>
        <v>0</v>
      </c>
      <c r="DD8" t="s">
        <v>526</v>
      </c>
      <c r="DE8" t="s">
        <v>3</v>
      </c>
      <c r="DF8">
        <f>ROUND((ROUND(AE8,2)*ROUND(1.01,7))*CX8,2)</f>
        <v>0</v>
      </c>
      <c r="DG8">
        <f>ROUND((ROUND(AF8,2)*ROUND(1.01,7))*CX8,2)</f>
        <v>0</v>
      </c>
      <c r="DH8">
        <f t="shared" si="0"/>
        <v>0</v>
      </c>
      <c r="DI8">
        <f>ROUND((ROUND(AH8,2)*ROUND(1.01,7))*CX8,2)</f>
        <v>0</v>
      </c>
      <c r="DJ8">
        <f>DF8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ROW(Source!A63)</f>
        <v>63</v>
      </c>
      <c r="B9">
        <v>65170852</v>
      </c>
      <c r="C9">
        <v>65171009</v>
      </c>
      <c r="D9">
        <v>37070090</v>
      </c>
      <c r="E9">
        <v>108</v>
      </c>
      <c r="F9">
        <v>1</v>
      </c>
      <c r="G9">
        <v>1</v>
      </c>
      <c r="H9">
        <v>1</v>
      </c>
      <c r="I9" t="s">
        <v>532</v>
      </c>
      <c r="J9" t="s">
        <v>3</v>
      </c>
      <c r="K9" t="s">
        <v>533</v>
      </c>
      <c r="L9">
        <v>1191</v>
      </c>
      <c r="N9">
        <v>1013</v>
      </c>
      <c r="O9" t="s">
        <v>509</v>
      </c>
      <c r="P9" t="s">
        <v>509</v>
      </c>
      <c r="Q9">
        <v>1</v>
      </c>
      <c r="W9">
        <v>0</v>
      </c>
      <c r="X9">
        <v>-112797078</v>
      </c>
      <c r="Y9">
        <f>(AT9*ROUND(0.8,7))</f>
        <v>74.960000000000008</v>
      </c>
      <c r="AA9">
        <v>0</v>
      </c>
      <c r="AB9">
        <v>0</v>
      </c>
      <c r="AC9">
        <v>0</v>
      </c>
      <c r="AD9">
        <v>457.6</v>
      </c>
      <c r="AE9">
        <v>0</v>
      </c>
      <c r="AF9">
        <v>0</v>
      </c>
      <c r="AG9">
        <v>0</v>
      </c>
      <c r="AH9">
        <v>457.6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3</v>
      </c>
      <c r="AT9">
        <v>93.7</v>
      </c>
      <c r="AU9" t="s">
        <v>79</v>
      </c>
      <c r="AV9">
        <v>1</v>
      </c>
      <c r="AW9">
        <v>2</v>
      </c>
      <c r="AX9">
        <v>65171018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42877.120000000003</v>
      </c>
      <c r="BN9">
        <v>93.7</v>
      </c>
      <c r="BO9">
        <v>0</v>
      </c>
      <c r="BP9">
        <v>1</v>
      </c>
      <c r="BQ9">
        <v>0</v>
      </c>
      <c r="BR9">
        <v>0</v>
      </c>
      <c r="BS9">
        <v>0</v>
      </c>
      <c r="BT9">
        <v>34301.696000000004</v>
      </c>
      <c r="BU9">
        <v>74.960000000000008</v>
      </c>
      <c r="BV9">
        <v>0</v>
      </c>
      <c r="BW9">
        <v>1</v>
      </c>
      <c r="CU9">
        <f>ROUND(AT9*Source!I63*AH9*AL9,2)</f>
        <v>1286.31</v>
      </c>
      <c r="CV9">
        <f>ROUND(Y9*Source!I63,7)</f>
        <v>2.2488000000000001</v>
      </c>
      <c r="CW9">
        <v>0</v>
      </c>
      <c r="CX9">
        <f>ROUND(Y9*Source!I63,7)</f>
        <v>2.2488000000000001</v>
      </c>
      <c r="CY9">
        <f>AD9</f>
        <v>457.6</v>
      </c>
      <c r="CZ9">
        <f>AH9</f>
        <v>457.6</v>
      </c>
      <c r="DA9">
        <f>AL9</f>
        <v>1</v>
      </c>
      <c r="DB9">
        <f>ROUND((ROUND(AT9*CZ9,2)*ROUND(0.8,7)),6)</f>
        <v>34301.696000000004</v>
      </c>
      <c r="DC9">
        <f>ROUND((ROUND(AT9*AG9,2)*ROUND(0.8,7)),6)</f>
        <v>0</v>
      </c>
      <c r="DD9" t="s">
        <v>3</v>
      </c>
      <c r="DE9" t="s">
        <v>3</v>
      </c>
      <c r="DF9">
        <f>ROUND(ROUND(AE9,2)*CX9,2)</f>
        <v>0</v>
      </c>
      <c r="DG9">
        <f>ROUND(ROUND(AF9,2)*CX9,2)</f>
        <v>0</v>
      </c>
      <c r="DH9">
        <f t="shared" si="0"/>
        <v>0</v>
      </c>
      <c r="DI9">
        <f>ROUND(ROUND(AH9,2)*CX9,2)</f>
        <v>1029.05</v>
      </c>
      <c r="DJ9">
        <f>DI9</f>
        <v>1029.05</v>
      </c>
      <c r="DK9">
        <v>1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ROW(Source!A63)</f>
        <v>63</v>
      </c>
      <c r="B10">
        <v>65170852</v>
      </c>
      <c r="C10">
        <v>65171009</v>
      </c>
      <c r="D10">
        <v>37064876</v>
      </c>
      <c r="E10">
        <v>108</v>
      </c>
      <c r="F10">
        <v>1</v>
      </c>
      <c r="G10">
        <v>1</v>
      </c>
      <c r="H10">
        <v>1</v>
      </c>
      <c r="I10" t="s">
        <v>510</v>
      </c>
      <c r="J10" t="s">
        <v>3</v>
      </c>
      <c r="K10" t="s">
        <v>511</v>
      </c>
      <c r="L10">
        <v>1191</v>
      </c>
      <c r="N10">
        <v>1013</v>
      </c>
      <c r="O10" t="s">
        <v>509</v>
      </c>
      <c r="P10" t="s">
        <v>509</v>
      </c>
      <c r="Q10">
        <v>1</v>
      </c>
      <c r="W10">
        <v>0</v>
      </c>
      <c r="X10">
        <v>-1417349443</v>
      </c>
      <c r="Y10">
        <f>(AT10*ROUND(0.8,7))</f>
        <v>34.448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3</v>
      </c>
      <c r="AT10">
        <v>43.06</v>
      </c>
      <c r="AU10" t="s">
        <v>79</v>
      </c>
      <c r="AV10">
        <v>2</v>
      </c>
      <c r="AW10">
        <v>2</v>
      </c>
      <c r="AX10">
        <v>65171019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ROUND(Y10*Source!I63,7)</f>
        <v>1.0334399999999999</v>
      </c>
      <c r="CY10">
        <f>AD10</f>
        <v>0</v>
      </c>
      <c r="CZ10">
        <f>AH10</f>
        <v>0</v>
      </c>
      <c r="DA10">
        <f>AL10</f>
        <v>1</v>
      </c>
      <c r="DB10">
        <f>ROUND((ROUND(AT10*CZ10,2)*ROUND(0.8,7)),6)</f>
        <v>0</v>
      </c>
      <c r="DC10">
        <f>ROUND((ROUND(AT10*AG10,2)*ROUND(0.8,7)),6)</f>
        <v>0</v>
      </c>
      <c r="DD10" t="s">
        <v>3</v>
      </c>
      <c r="DE10" t="s">
        <v>3</v>
      </c>
      <c r="DF10">
        <f>ROUND(ROUND(AE10,2)*CX10,2)</f>
        <v>0</v>
      </c>
      <c r="DG10">
        <f>ROUND(ROUND(AF10,2)*CX10,2)</f>
        <v>0</v>
      </c>
      <c r="DH10">
        <f t="shared" si="0"/>
        <v>0</v>
      </c>
      <c r="DI10">
        <f>ROUND(ROUND(AH10,2)*CX10,2)</f>
        <v>0</v>
      </c>
      <c r="DJ10">
        <f>DI10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ROW(Source!A63)</f>
        <v>63</v>
      </c>
      <c r="B11">
        <v>65170852</v>
      </c>
      <c r="C11">
        <v>65171009</v>
      </c>
      <c r="D11">
        <v>56571417</v>
      </c>
      <c r="E11">
        <v>1</v>
      </c>
      <c r="F11">
        <v>1</v>
      </c>
      <c r="G11">
        <v>1</v>
      </c>
      <c r="H11">
        <v>2</v>
      </c>
      <c r="I11" t="s">
        <v>512</v>
      </c>
      <c r="J11" t="s">
        <v>513</v>
      </c>
      <c r="K11" t="s">
        <v>514</v>
      </c>
      <c r="L11">
        <v>1368</v>
      </c>
      <c r="N11">
        <v>1011</v>
      </c>
      <c r="O11" t="s">
        <v>515</v>
      </c>
      <c r="P11" t="s">
        <v>515</v>
      </c>
      <c r="Q11">
        <v>1</v>
      </c>
      <c r="W11">
        <v>0</v>
      </c>
      <c r="X11">
        <v>-848025172</v>
      </c>
      <c r="Y11">
        <f>(AT11*ROUND(0.8,7))</f>
        <v>5.32</v>
      </c>
      <c r="AA11">
        <v>0</v>
      </c>
      <c r="AB11">
        <v>1551.19</v>
      </c>
      <c r="AC11">
        <v>658.94</v>
      </c>
      <c r="AD11">
        <v>0</v>
      </c>
      <c r="AE11">
        <v>0</v>
      </c>
      <c r="AF11">
        <v>1551.19</v>
      </c>
      <c r="AG11">
        <v>658.94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6.65</v>
      </c>
      <c r="AU11" t="s">
        <v>79</v>
      </c>
      <c r="AV11">
        <v>1</v>
      </c>
      <c r="AW11">
        <v>2</v>
      </c>
      <c r="AX11">
        <v>65171020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10315.413500000001</v>
      </c>
      <c r="BL11">
        <v>4381.9510000000009</v>
      </c>
      <c r="BM11">
        <v>0</v>
      </c>
      <c r="BN11">
        <v>0</v>
      </c>
      <c r="BO11">
        <v>6.65</v>
      </c>
      <c r="BP11">
        <v>1</v>
      </c>
      <c r="BQ11">
        <v>0</v>
      </c>
      <c r="BR11">
        <v>8252.3308000000015</v>
      </c>
      <c r="BS11">
        <v>3505.5608000000007</v>
      </c>
      <c r="BT11">
        <v>0</v>
      </c>
      <c r="BU11">
        <v>0</v>
      </c>
      <c r="BV11">
        <v>5.32</v>
      </c>
      <c r="BW11">
        <v>1</v>
      </c>
      <c r="CV11">
        <v>0</v>
      </c>
      <c r="CW11">
        <f>ROUND(Y11*Source!I63*DO11,7)</f>
        <v>0.15959999999999999</v>
      </c>
      <c r="CX11">
        <f>ROUND(Y11*Source!I63,7)</f>
        <v>0.15959999999999999</v>
      </c>
      <c r="CY11">
        <f>AB11</f>
        <v>1551.19</v>
      </c>
      <c r="CZ11">
        <f>AF11</f>
        <v>1551.19</v>
      </c>
      <c r="DA11">
        <f>AJ11</f>
        <v>1</v>
      </c>
      <c r="DB11">
        <f>ROUND((ROUND(AT11*CZ11,2)*ROUND(0.8,7)),6)</f>
        <v>8252.3279999999995</v>
      </c>
      <c r="DC11">
        <f>ROUND((ROUND(AT11*AG11,2)*ROUND(0.8,7)),6)</f>
        <v>3505.56</v>
      </c>
      <c r="DD11" t="s">
        <v>3</v>
      </c>
      <c r="DE11" t="s">
        <v>3</v>
      </c>
      <c r="DF11">
        <f>ROUND(ROUND(AE11,2)*CX11,2)</f>
        <v>0</v>
      </c>
      <c r="DG11">
        <f>ROUND(ROUND(AF11,2)*CX11,2)</f>
        <v>247.57</v>
      </c>
      <c r="DH11">
        <f t="shared" si="0"/>
        <v>105.17</v>
      </c>
      <c r="DI11">
        <f>ROUND(ROUND(AH11,2)*CX11,2)</f>
        <v>0</v>
      </c>
      <c r="DJ11">
        <f>DG11+DH11</f>
        <v>352.74</v>
      </c>
      <c r="DK11">
        <v>1</v>
      </c>
      <c r="DL11" t="s">
        <v>516</v>
      </c>
      <c r="DM11">
        <v>6</v>
      </c>
      <c r="DN11" t="s">
        <v>509</v>
      </c>
      <c r="DO11">
        <v>1</v>
      </c>
    </row>
    <row r="12" spans="1:119" x14ac:dyDescent="0.2">
      <c r="A12">
        <f>ROW(Source!A63)</f>
        <v>63</v>
      </c>
      <c r="B12">
        <v>65170852</v>
      </c>
      <c r="C12">
        <v>65171009</v>
      </c>
      <c r="D12">
        <v>56571433</v>
      </c>
      <c r="E12">
        <v>1</v>
      </c>
      <c r="F12">
        <v>1</v>
      </c>
      <c r="G12">
        <v>1</v>
      </c>
      <c r="H12">
        <v>2</v>
      </c>
      <c r="I12" t="s">
        <v>517</v>
      </c>
      <c r="J12" t="s">
        <v>518</v>
      </c>
      <c r="K12" t="s">
        <v>519</v>
      </c>
      <c r="L12">
        <v>1368</v>
      </c>
      <c r="N12">
        <v>1011</v>
      </c>
      <c r="O12" t="s">
        <v>515</v>
      </c>
      <c r="P12" t="s">
        <v>515</v>
      </c>
      <c r="Q12">
        <v>1</v>
      </c>
      <c r="W12">
        <v>0</v>
      </c>
      <c r="X12">
        <v>-1087419069</v>
      </c>
      <c r="Y12">
        <f>(AT12*ROUND(0.8,7))</f>
        <v>21.36</v>
      </c>
      <c r="AA12">
        <v>0</v>
      </c>
      <c r="AB12">
        <v>2180.2199999999998</v>
      </c>
      <c r="AC12">
        <v>658.94</v>
      </c>
      <c r="AD12">
        <v>0</v>
      </c>
      <c r="AE12">
        <v>0</v>
      </c>
      <c r="AF12">
        <v>1703.3</v>
      </c>
      <c r="AG12">
        <v>658.94</v>
      </c>
      <c r="AH12">
        <v>0</v>
      </c>
      <c r="AI12">
        <v>1</v>
      </c>
      <c r="AJ12">
        <v>1.28</v>
      </c>
      <c r="AK12">
        <v>1</v>
      </c>
      <c r="AL12">
        <v>1</v>
      </c>
      <c r="AM12">
        <v>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26.7</v>
      </c>
      <c r="AU12" t="s">
        <v>79</v>
      </c>
      <c r="AV12">
        <v>1</v>
      </c>
      <c r="AW12">
        <v>2</v>
      </c>
      <c r="AX12">
        <v>65171021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45478.11</v>
      </c>
      <c r="BL12">
        <v>17593.698</v>
      </c>
      <c r="BM12">
        <v>0</v>
      </c>
      <c r="BN12">
        <v>0</v>
      </c>
      <c r="BO12">
        <v>26.7</v>
      </c>
      <c r="BP12">
        <v>1</v>
      </c>
      <c r="BQ12">
        <v>0</v>
      </c>
      <c r="BR12">
        <v>36382.487999999998</v>
      </c>
      <c r="BS12">
        <v>14074.958400000001</v>
      </c>
      <c r="BT12">
        <v>0</v>
      </c>
      <c r="BU12">
        <v>0</v>
      </c>
      <c r="BV12">
        <v>21.36</v>
      </c>
      <c r="BW12">
        <v>1</v>
      </c>
      <c r="CV12">
        <v>0</v>
      </c>
      <c r="CW12">
        <f>ROUND(Y12*Source!I63*DO12,7)</f>
        <v>0.64080000000000004</v>
      </c>
      <c r="CX12">
        <f>ROUND(Y12*Source!I63,7)</f>
        <v>0.64080000000000004</v>
      </c>
      <c r="CY12">
        <f>AB12</f>
        <v>2180.2199999999998</v>
      </c>
      <c r="CZ12">
        <f>AF12</f>
        <v>1703.3</v>
      </c>
      <c r="DA12">
        <f>AJ12</f>
        <v>1.28</v>
      </c>
      <c r="DB12">
        <f>ROUND((ROUND(AT12*CZ12,2)*ROUND(0.8,7)),6)</f>
        <v>36382.487999999998</v>
      </c>
      <c r="DC12">
        <f>ROUND((ROUND(AT12*AG12,2)*ROUND(0.8,7)),6)</f>
        <v>14074.96</v>
      </c>
      <c r="DD12" t="s">
        <v>3</v>
      </c>
      <c r="DE12" t="s">
        <v>3</v>
      </c>
      <c r="DF12">
        <f>ROUND(ROUND(AE12,2)*CX12,2)</f>
        <v>0</v>
      </c>
      <c r="DG12">
        <f>ROUND(ROUND(AF12*AJ12,2)*CX12,2)</f>
        <v>1397.08</v>
      </c>
      <c r="DH12">
        <f t="shared" si="0"/>
        <v>422.25</v>
      </c>
      <c r="DI12">
        <f>ROUND(ROUND(AH12,2)*CX12,2)</f>
        <v>0</v>
      </c>
      <c r="DJ12">
        <f>DG12+DH12</f>
        <v>1819.33</v>
      </c>
      <c r="DK12">
        <v>0</v>
      </c>
      <c r="DL12" t="s">
        <v>516</v>
      </c>
      <c r="DM12">
        <v>6</v>
      </c>
      <c r="DN12" t="s">
        <v>509</v>
      </c>
      <c r="DO12">
        <v>1</v>
      </c>
    </row>
    <row r="13" spans="1:119" x14ac:dyDescent="0.2">
      <c r="A13">
        <f>ROW(Source!A63)</f>
        <v>63</v>
      </c>
      <c r="B13">
        <v>65170852</v>
      </c>
      <c r="C13">
        <v>65171009</v>
      </c>
      <c r="D13">
        <v>56572833</v>
      </c>
      <c r="E13">
        <v>1</v>
      </c>
      <c r="F13">
        <v>1</v>
      </c>
      <c r="G13">
        <v>1</v>
      </c>
      <c r="H13">
        <v>2</v>
      </c>
      <c r="I13" t="s">
        <v>520</v>
      </c>
      <c r="J13" t="s">
        <v>521</v>
      </c>
      <c r="K13" t="s">
        <v>522</v>
      </c>
      <c r="L13">
        <v>1368</v>
      </c>
      <c r="N13">
        <v>1011</v>
      </c>
      <c r="O13" t="s">
        <v>515</v>
      </c>
      <c r="P13" t="s">
        <v>515</v>
      </c>
      <c r="Q13">
        <v>1</v>
      </c>
      <c r="W13">
        <v>0</v>
      </c>
      <c r="X13">
        <v>1230426758</v>
      </c>
      <c r="Y13">
        <f>(AT13*ROUND(0.8,7))</f>
        <v>7.7680000000000007</v>
      </c>
      <c r="AA13">
        <v>0</v>
      </c>
      <c r="AB13">
        <v>578.28</v>
      </c>
      <c r="AC13">
        <v>490.55</v>
      </c>
      <c r="AD13">
        <v>0</v>
      </c>
      <c r="AE13">
        <v>0</v>
      </c>
      <c r="AF13">
        <v>477.92</v>
      </c>
      <c r="AG13">
        <v>490.55</v>
      </c>
      <c r="AH13">
        <v>0</v>
      </c>
      <c r="AI13">
        <v>1</v>
      </c>
      <c r="AJ13">
        <v>1.21</v>
      </c>
      <c r="AK13">
        <v>1</v>
      </c>
      <c r="AL13">
        <v>1</v>
      </c>
      <c r="AM13">
        <v>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9.7100000000000009</v>
      </c>
      <c r="AU13" t="s">
        <v>79</v>
      </c>
      <c r="AV13">
        <v>1</v>
      </c>
      <c r="AW13">
        <v>2</v>
      </c>
      <c r="AX13">
        <v>65171022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4640.6032000000005</v>
      </c>
      <c r="BL13">
        <v>4763.2405000000008</v>
      </c>
      <c r="BM13">
        <v>0</v>
      </c>
      <c r="BN13">
        <v>0</v>
      </c>
      <c r="BO13">
        <v>9.7100000000000009</v>
      </c>
      <c r="BP13">
        <v>1</v>
      </c>
      <c r="BQ13">
        <v>0</v>
      </c>
      <c r="BR13">
        <v>3712.4825600000004</v>
      </c>
      <c r="BS13">
        <v>3810.5924000000005</v>
      </c>
      <c r="BT13">
        <v>0</v>
      </c>
      <c r="BU13">
        <v>0</v>
      </c>
      <c r="BV13">
        <v>7.7680000000000007</v>
      </c>
      <c r="BW13">
        <v>1</v>
      </c>
      <c r="CV13">
        <v>0</v>
      </c>
      <c r="CW13">
        <f>ROUND(Y13*Source!I63*DO13,7)</f>
        <v>0.23304</v>
      </c>
      <c r="CX13">
        <f>ROUND(Y13*Source!I63,7)</f>
        <v>0.23304</v>
      </c>
      <c r="CY13">
        <f>AB13</f>
        <v>578.28</v>
      </c>
      <c r="CZ13">
        <f>AF13</f>
        <v>477.92</v>
      </c>
      <c r="DA13">
        <f>AJ13</f>
        <v>1.21</v>
      </c>
      <c r="DB13">
        <f>ROUND((ROUND(AT13*CZ13,2)*ROUND(0.8,7)),6)</f>
        <v>3712.48</v>
      </c>
      <c r="DC13">
        <f>ROUND((ROUND(AT13*AG13,2)*ROUND(0.8,7)),6)</f>
        <v>3810.5920000000001</v>
      </c>
      <c r="DD13" t="s">
        <v>3</v>
      </c>
      <c r="DE13" t="s">
        <v>3</v>
      </c>
      <c r="DF13">
        <f>ROUND(ROUND(AE13,2)*CX13,2)</f>
        <v>0</v>
      </c>
      <c r="DG13">
        <f>ROUND(ROUND(AF13*AJ13,2)*CX13,2)</f>
        <v>134.76</v>
      </c>
      <c r="DH13">
        <f t="shared" si="0"/>
        <v>114.32</v>
      </c>
      <c r="DI13">
        <f>ROUND(ROUND(AH13,2)*CX13,2)</f>
        <v>0</v>
      </c>
      <c r="DJ13">
        <f>DG13+DH13</f>
        <v>249.07999999999998</v>
      </c>
      <c r="DK13">
        <v>0</v>
      </c>
      <c r="DL13" t="s">
        <v>523</v>
      </c>
      <c r="DM13">
        <v>4</v>
      </c>
      <c r="DN13" t="s">
        <v>509</v>
      </c>
      <c r="DO13">
        <v>1</v>
      </c>
    </row>
    <row r="14" spans="1:119" x14ac:dyDescent="0.2">
      <c r="A14">
        <f>ROW(Source!A63)</f>
        <v>63</v>
      </c>
      <c r="B14">
        <v>65170852</v>
      </c>
      <c r="C14">
        <v>65171009</v>
      </c>
      <c r="D14">
        <v>56218682</v>
      </c>
      <c r="E14">
        <v>108</v>
      </c>
      <c r="F14">
        <v>1</v>
      </c>
      <c r="G14">
        <v>1</v>
      </c>
      <c r="H14">
        <v>3</v>
      </c>
      <c r="I14" t="s">
        <v>524</v>
      </c>
      <c r="J14" t="s">
        <v>3</v>
      </c>
      <c r="K14" t="s">
        <v>525</v>
      </c>
      <c r="L14">
        <v>1339</v>
      </c>
      <c r="N14">
        <v>1007</v>
      </c>
      <c r="O14" t="s">
        <v>129</v>
      </c>
      <c r="P14" t="s">
        <v>129</v>
      </c>
      <c r="Q14">
        <v>1</v>
      </c>
      <c r="W14">
        <v>0</v>
      </c>
      <c r="X14">
        <v>-157982121</v>
      </c>
      <c r="Y14">
        <f>(AT14*ROUND(0,7))</f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3</v>
      </c>
      <c r="AT14">
        <v>0.47</v>
      </c>
      <c r="AU14" t="s">
        <v>97</v>
      </c>
      <c r="AV14">
        <v>0</v>
      </c>
      <c r="AW14">
        <v>2</v>
      </c>
      <c r="AX14">
        <v>65171023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ROUND(Y14*Source!I63,7)</f>
        <v>0</v>
      </c>
      <c r="CY14">
        <f>AA14</f>
        <v>0</v>
      </c>
      <c r="CZ14">
        <f>AE14</f>
        <v>0</v>
      </c>
      <c r="DA14">
        <f>AI14</f>
        <v>1</v>
      </c>
      <c r="DB14">
        <f>ROUND(((ROUND(AT14*CZ14,2)*ROUND(0,7))*ROUND(1.01,7)),6)</f>
        <v>0</v>
      </c>
      <c r="DC14">
        <f>ROUND((ROUND(AT14*AG14,2)*ROUND(0,7)),6)</f>
        <v>0</v>
      </c>
      <c r="DD14" t="s">
        <v>526</v>
      </c>
      <c r="DE14" t="s">
        <v>3</v>
      </c>
      <c r="DF14">
        <f>ROUND((ROUND(AE14,2)*ROUND(1.01,7))*CX14,2)</f>
        <v>0</v>
      </c>
      <c r="DG14">
        <f>ROUND((ROUND(AF14,2)*ROUND(1.01,7))*CX14,2)</f>
        <v>0</v>
      </c>
      <c r="DH14">
        <f t="shared" si="0"/>
        <v>0</v>
      </c>
      <c r="DI14">
        <f>ROUND((ROUND(AH14,2)*ROUND(1.01,7))*CX14,2)</f>
        <v>0</v>
      </c>
      <c r="DJ14">
        <f>DF14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ROW(Source!A63)</f>
        <v>63</v>
      </c>
      <c r="B15">
        <v>65170852</v>
      </c>
      <c r="C15">
        <v>65171009</v>
      </c>
      <c r="D15">
        <v>56584225</v>
      </c>
      <c r="E15">
        <v>1</v>
      </c>
      <c r="F15">
        <v>1</v>
      </c>
      <c r="G15">
        <v>1</v>
      </c>
      <c r="H15">
        <v>3</v>
      </c>
      <c r="I15" t="s">
        <v>527</v>
      </c>
      <c r="J15" t="s">
        <v>528</v>
      </c>
      <c r="K15" t="s">
        <v>529</v>
      </c>
      <c r="L15">
        <v>1339</v>
      </c>
      <c r="N15">
        <v>1007</v>
      </c>
      <c r="O15" t="s">
        <v>129</v>
      </c>
      <c r="P15" t="s">
        <v>129</v>
      </c>
      <c r="Q15">
        <v>1</v>
      </c>
      <c r="W15">
        <v>0</v>
      </c>
      <c r="X15">
        <v>-1043681967</v>
      </c>
      <c r="Y15">
        <f>(AT15*ROUND(0,7))</f>
        <v>0</v>
      </c>
      <c r="AA15">
        <v>4534.34</v>
      </c>
      <c r="AB15">
        <v>0</v>
      </c>
      <c r="AC15">
        <v>0</v>
      </c>
      <c r="AD15">
        <v>0</v>
      </c>
      <c r="AE15">
        <v>3778.62</v>
      </c>
      <c r="AF15">
        <v>0</v>
      </c>
      <c r="AG15">
        <v>0</v>
      </c>
      <c r="AH15">
        <v>0</v>
      </c>
      <c r="AI15">
        <v>1.2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3</v>
      </c>
      <c r="AT15">
        <v>2.95</v>
      </c>
      <c r="AU15" t="s">
        <v>97</v>
      </c>
      <c r="AV15">
        <v>0</v>
      </c>
      <c r="AW15">
        <v>2</v>
      </c>
      <c r="AX15">
        <v>65171024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11146.929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ROUND(Y15*Source!I63,7)</f>
        <v>0</v>
      </c>
      <c r="CY15">
        <f>AA15</f>
        <v>4534.34</v>
      </c>
      <c r="CZ15">
        <f>AE15</f>
        <v>3778.62</v>
      </c>
      <c r="DA15">
        <f>AI15</f>
        <v>1.2</v>
      </c>
      <c r="DB15">
        <f>ROUND(((ROUND(AT15*CZ15,2)*ROUND(0,7))*ROUND(1.01,7)),6)</f>
        <v>0</v>
      </c>
      <c r="DC15">
        <f>ROUND((ROUND(AT15*AG15,2)*ROUND(0,7)),6)</f>
        <v>0</v>
      </c>
      <c r="DD15" t="s">
        <v>526</v>
      </c>
      <c r="DE15" t="s">
        <v>3</v>
      </c>
      <c r="DF15">
        <f>ROUND((ROUND(AE15*AI15,2)*ROUND(1.01,7))*CX15,2)</f>
        <v>0</v>
      </c>
      <c r="DG15">
        <f>ROUND((ROUND(AF15,2)*ROUND(1.01,7))*CX15,2)</f>
        <v>0</v>
      </c>
      <c r="DH15">
        <f t="shared" si="0"/>
        <v>0</v>
      </c>
      <c r="DI15">
        <f>ROUND((ROUND(AH15,2)*ROUND(1.01,7))*CX15,2)</f>
        <v>0</v>
      </c>
      <c r="DJ15">
        <f>DF15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ROW(Source!A63)</f>
        <v>63</v>
      </c>
      <c r="B16">
        <v>65170852</v>
      </c>
      <c r="C16">
        <v>65171009</v>
      </c>
      <c r="D16">
        <v>56219261</v>
      </c>
      <c r="E16">
        <v>108</v>
      </c>
      <c r="F16">
        <v>1</v>
      </c>
      <c r="G16">
        <v>1</v>
      </c>
      <c r="H16">
        <v>3</v>
      </c>
      <c r="I16" t="s">
        <v>530</v>
      </c>
      <c r="J16" t="s">
        <v>3</v>
      </c>
      <c r="K16" t="s">
        <v>531</v>
      </c>
      <c r="L16">
        <v>1371</v>
      </c>
      <c r="N16">
        <v>1013</v>
      </c>
      <c r="O16" t="s">
        <v>220</v>
      </c>
      <c r="P16" t="s">
        <v>220</v>
      </c>
      <c r="Q16">
        <v>1</v>
      </c>
      <c r="W16">
        <v>0</v>
      </c>
      <c r="X16">
        <v>1757280489</v>
      </c>
      <c r="Y16">
        <f>(AT16*ROUND(0,7))</f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100</v>
      </c>
      <c r="AU16" t="s">
        <v>97</v>
      </c>
      <c r="AV16">
        <v>0</v>
      </c>
      <c r="AW16">
        <v>2</v>
      </c>
      <c r="AX16">
        <v>65171025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ROUND(Y16*Source!I63,7)</f>
        <v>0</v>
      </c>
      <c r="CY16">
        <f>AA16</f>
        <v>0</v>
      </c>
      <c r="CZ16">
        <f>AE16</f>
        <v>0</v>
      </c>
      <c r="DA16">
        <f>AI16</f>
        <v>1</v>
      </c>
      <c r="DB16">
        <f>ROUND(((ROUND(AT16*CZ16,2)*ROUND(0,7))*ROUND(1.01,7)),6)</f>
        <v>0</v>
      </c>
      <c r="DC16">
        <f>ROUND((ROUND(AT16*AG16,2)*ROUND(0,7)),6)</f>
        <v>0</v>
      </c>
      <c r="DD16" t="s">
        <v>526</v>
      </c>
      <c r="DE16" t="s">
        <v>3</v>
      </c>
      <c r="DF16">
        <f>ROUND((ROUND(AE16,2)*ROUND(1.01,7))*CX16,2)</f>
        <v>0</v>
      </c>
      <c r="DG16">
        <f>ROUND((ROUND(AF16,2)*ROUND(1.01,7))*CX16,2)</f>
        <v>0</v>
      </c>
      <c r="DH16">
        <f t="shared" si="0"/>
        <v>0</v>
      </c>
      <c r="DI16">
        <f>ROUND((ROUND(AH16,2)*ROUND(1.01,7))*CX16,2)</f>
        <v>0</v>
      </c>
      <c r="DJ16">
        <f>DF16</f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ROW(Source!A64)</f>
        <v>64</v>
      </c>
      <c r="B17">
        <v>65170852</v>
      </c>
      <c r="C17">
        <v>65171026</v>
      </c>
      <c r="D17">
        <v>37070495</v>
      </c>
      <c r="E17">
        <v>108</v>
      </c>
      <c r="F17">
        <v>1</v>
      </c>
      <c r="G17">
        <v>1</v>
      </c>
      <c r="H17">
        <v>1</v>
      </c>
      <c r="I17" t="s">
        <v>507</v>
      </c>
      <c r="J17" t="s">
        <v>3</v>
      </c>
      <c r="K17" t="s">
        <v>508</v>
      </c>
      <c r="L17">
        <v>1191</v>
      </c>
      <c r="N17">
        <v>1013</v>
      </c>
      <c r="O17" t="s">
        <v>509</v>
      </c>
      <c r="P17" t="s">
        <v>509</v>
      </c>
      <c r="Q17">
        <v>1</v>
      </c>
      <c r="W17">
        <v>0</v>
      </c>
      <c r="X17">
        <v>784619160</v>
      </c>
      <c r="Y17">
        <f t="shared" ref="Y17:Y24" si="1">(AT17*ROUND(0.7,7))</f>
        <v>27.684999999999995</v>
      </c>
      <c r="AA17">
        <v>0</v>
      </c>
      <c r="AB17">
        <v>0</v>
      </c>
      <c r="AC17">
        <v>0</v>
      </c>
      <c r="AD17">
        <v>446.62</v>
      </c>
      <c r="AE17">
        <v>0</v>
      </c>
      <c r="AF17">
        <v>0</v>
      </c>
      <c r="AG17">
        <v>0</v>
      </c>
      <c r="AH17">
        <v>446.62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39.549999999999997</v>
      </c>
      <c r="AU17" t="s">
        <v>98</v>
      </c>
      <c r="AV17">
        <v>1</v>
      </c>
      <c r="AW17">
        <v>2</v>
      </c>
      <c r="AX17">
        <v>65171049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17663.821</v>
      </c>
      <c r="BN17">
        <v>39.549999999999997</v>
      </c>
      <c r="BO17">
        <v>0</v>
      </c>
      <c r="BP17">
        <v>1</v>
      </c>
      <c r="BQ17">
        <v>0</v>
      </c>
      <c r="BR17">
        <v>0</v>
      </c>
      <c r="BS17">
        <v>0</v>
      </c>
      <c r="BT17">
        <v>12364.674699999998</v>
      </c>
      <c r="BU17">
        <v>27.684999999999995</v>
      </c>
      <c r="BV17">
        <v>0</v>
      </c>
      <c r="BW17">
        <v>1</v>
      </c>
      <c r="CU17">
        <f>ROUND(AT17*Source!I64*AH17*AL17,2)</f>
        <v>2039.11</v>
      </c>
      <c r="CV17">
        <f>ROUND(Y17*Source!I64,7)</f>
        <v>3.1959564</v>
      </c>
      <c r="CW17">
        <v>0</v>
      </c>
      <c r="CX17">
        <f>ROUND(Y17*Source!I64,7)</f>
        <v>3.1959564</v>
      </c>
      <c r="CY17">
        <f>AD17</f>
        <v>446.62</v>
      </c>
      <c r="CZ17">
        <f>AH17</f>
        <v>446.62</v>
      </c>
      <c r="DA17">
        <f>AL17</f>
        <v>1</v>
      </c>
      <c r="DB17">
        <f t="shared" ref="DB17:DB24" si="2">ROUND((ROUND(AT17*CZ17,2)*ROUND(0.7,7)),6)</f>
        <v>12364.674000000001</v>
      </c>
      <c r="DC17">
        <f t="shared" ref="DC17:DC24" si="3">ROUND((ROUND(AT17*AG17,2)*ROUND(0.7,7)),6)</f>
        <v>0</v>
      </c>
      <c r="DD17" t="s">
        <v>3</v>
      </c>
      <c r="DE17" t="s">
        <v>3</v>
      </c>
      <c r="DF17">
        <f t="shared" ref="DF17:DF24" si="4">ROUND(ROUND(AE17,2)*CX17,2)</f>
        <v>0</v>
      </c>
      <c r="DG17">
        <f>ROUND(ROUND(AF17,2)*CX17,2)</f>
        <v>0</v>
      </c>
      <c r="DH17">
        <f t="shared" si="0"/>
        <v>0</v>
      </c>
      <c r="DI17">
        <f t="shared" ref="DI17:DI80" si="5">ROUND(ROUND(AH17,2)*CX17,2)</f>
        <v>1427.38</v>
      </c>
      <c r="DJ17">
        <f>DI17</f>
        <v>1427.38</v>
      </c>
      <c r="DK17">
        <v>1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ROW(Source!A64)</f>
        <v>64</v>
      </c>
      <c r="B18">
        <v>65170852</v>
      </c>
      <c r="C18">
        <v>65171026</v>
      </c>
      <c r="D18">
        <v>37064876</v>
      </c>
      <c r="E18">
        <v>108</v>
      </c>
      <c r="F18">
        <v>1</v>
      </c>
      <c r="G18">
        <v>1</v>
      </c>
      <c r="H18">
        <v>1</v>
      </c>
      <c r="I18" t="s">
        <v>510</v>
      </c>
      <c r="J18" t="s">
        <v>3</v>
      </c>
      <c r="K18" t="s">
        <v>511</v>
      </c>
      <c r="L18">
        <v>1191</v>
      </c>
      <c r="N18">
        <v>1013</v>
      </c>
      <c r="O18" t="s">
        <v>509</v>
      </c>
      <c r="P18" t="s">
        <v>509</v>
      </c>
      <c r="Q18">
        <v>1</v>
      </c>
      <c r="W18">
        <v>0</v>
      </c>
      <c r="X18">
        <v>-1417349443</v>
      </c>
      <c r="Y18">
        <f t="shared" si="1"/>
        <v>2.8069999999999995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4.01</v>
      </c>
      <c r="AU18" t="s">
        <v>98</v>
      </c>
      <c r="AV18">
        <v>2</v>
      </c>
      <c r="AW18">
        <v>2</v>
      </c>
      <c r="AX18">
        <v>65171050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ROUND(Y18*Source!I64,7)</f>
        <v>0.3240401</v>
      </c>
      <c r="CY18">
        <f>AD18</f>
        <v>0</v>
      </c>
      <c r="CZ18">
        <f>AH18</f>
        <v>0</v>
      </c>
      <c r="DA18">
        <f>AL18</f>
        <v>1</v>
      </c>
      <c r="DB18">
        <f t="shared" si="2"/>
        <v>0</v>
      </c>
      <c r="DC18">
        <f t="shared" si="3"/>
        <v>0</v>
      </c>
      <c r="DD18" t="s">
        <v>3</v>
      </c>
      <c r="DE18" t="s">
        <v>3</v>
      </c>
      <c r="DF18">
        <f t="shared" si="4"/>
        <v>0</v>
      </c>
      <c r="DG18">
        <f>ROUND(ROUND(AF18,2)*CX18,2)</f>
        <v>0</v>
      </c>
      <c r="DH18">
        <f t="shared" si="0"/>
        <v>0</v>
      </c>
      <c r="DI18">
        <f t="shared" si="5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ROW(Source!A64)</f>
        <v>64</v>
      </c>
      <c r="B19">
        <v>65170852</v>
      </c>
      <c r="C19">
        <v>65171026</v>
      </c>
      <c r="D19">
        <v>56571341</v>
      </c>
      <c r="E19">
        <v>1</v>
      </c>
      <c r="F19">
        <v>1</v>
      </c>
      <c r="G19">
        <v>1</v>
      </c>
      <c r="H19">
        <v>2</v>
      </c>
      <c r="I19" t="s">
        <v>534</v>
      </c>
      <c r="J19" t="s">
        <v>535</v>
      </c>
      <c r="K19" t="s">
        <v>536</v>
      </c>
      <c r="L19">
        <v>1368</v>
      </c>
      <c r="N19">
        <v>1011</v>
      </c>
      <c r="O19" t="s">
        <v>515</v>
      </c>
      <c r="P19" t="s">
        <v>515</v>
      </c>
      <c r="Q19">
        <v>1</v>
      </c>
      <c r="W19">
        <v>0</v>
      </c>
      <c r="X19">
        <v>1508484421</v>
      </c>
      <c r="Y19">
        <f t="shared" si="1"/>
        <v>6.9999999999999993E-2</v>
      </c>
      <c r="AA19">
        <v>0</v>
      </c>
      <c r="AB19">
        <v>2308.85</v>
      </c>
      <c r="AC19">
        <v>658.94</v>
      </c>
      <c r="AD19">
        <v>0</v>
      </c>
      <c r="AE19">
        <v>0</v>
      </c>
      <c r="AF19">
        <v>1803.79</v>
      </c>
      <c r="AG19">
        <v>658.94</v>
      </c>
      <c r="AH19">
        <v>0</v>
      </c>
      <c r="AI19">
        <v>1</v>
      </c>
      <c r="AJ19">
        <v>1.28</v>
      </c>
      <c r="AK19">
        <v>1</v>
      </c>
      <c r="AL19">
        <v>1</v>
      </c>
      <c r="AM19">
        <v>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0.1</v>
      </c>
      <c r="AU19" t="s">
        <v>98</v>
      </c>
      <c r="AV19">
        <v>1</v>
      </c>
      <c r="AW19">
        <v>2</v>
      </c>
      <c r="AX19">
        <v>65171051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180.37900000000002</v>
      </c>
      <c r="BL19">
        <v>65.894000000000005</v>
      </c>
      <c r="BM19">
        <v>0</v>
      </c>
      <c r="BN19">
        <v>0</v>
      </c>
      <c r="BO19">
        <v>0.1</v>
      </c>
      <c r="BP19">
        <v>1</v>
      </c>
      <c r="BQ19">
        <v>0</v>
      </c>
      <c r="BR19">
        <v>126.26529999999998</v>
      </c>
      <c r="BS19">
        <v>46.125799999999998</v>
      </c>
      <c r="BT19">
        <v>0</v>
      </c>
      <c r="BU19">
        <v>0</v>
      </c>
      <c r="BV19">
        <v>6.9999999999999993E-2</v>
      </c>
      <c r="BW19">
        <v>1</v>
      </c>
      <c r="CV19">
        <v>0</v>
      </c>
      <c r="CW19">
        <f>ROUND(Y19*Source!I64*DO19,7)</f>
        <v>8.0808000000000008E-3</v>
      </c>
      <c r="CX19">
        <f>ROUND(Y19*Source!I64,7)</f>
        <v>8.0808000000000008E-3</v>
      </c>
      <c r="CY19">
        <f t="shared" ref="CY19:CY24" si="6">AB19</f>
        <v>2308.85</v>
      </c>
      <c r="CZ19">
        <f t="shared" ref="CZ19:CZ24" si="7">AF19</f>
        <v>1803.79</v>
      </c>
      <c r="DA19">
        <f t="shared" ref="DA19:DA24" si="8">AJ19</f>
        <v>1.28</v>
      </c>
      <c r="DB19">
        <f t="shared" si="2"/>
        <v>126.26600000000001</v>
      </c>
      <c r="DC19">
        <f t="shared" si="3"/>
        <v>46.122999999999998</v>
      </c>
      <c r="DD19" t="s">
        <v>3</v>
      </c>
      <c r="DE19" t="s">
        <v>3</v>
      </c>
      <c r="DF19">
        <f t="shared" si="4"/>
        <v>0</v>
      </c>
      <c r="DG19">
        <f>ROUND(ROUND(AF19*AJ19,2)*CX19,2)</f>
        <v>18.66</v>
      </c>
      <c r="DH19">
        <f t="shared" si="0"/>
        <v>5.32</v>
      </c>
      <c r="DI19">
        <f t="shared" si="5"/>
        <v>0</v>
      </c>
      <c r="DJ19">
        <f t="shared" ref="DJ19:DJ24" si="9">DG19+DH19</f>
        <v>23.98</v>
      </c>
      <c r="DK19">
        <v>0</v>
      </c>
      <c r="DL19" t="s">
        <v>516</v>
      </c>
      <c r="DM19">
        <v>6</v>
      </c>
      <c r="DN19" t="s">
        <v>509</v>
      </c>
      <c r="DO19">
        <v>1</v>
      </c>
    </row>
    <row r="20" spans="1:119" x14ac:dyDescent="0.2">
      <c r="A20">
        <f>ROW(Source!A64)</f>
        <v>64</v>
      </c>
      <c r="B20">
        <v>65170852</v>
      </c>
      <c r="C20">
        <v>65171026</v>
      </c>
      <c r="D20">
        <v>56571417</v>
      </c>
      <c r="E20">
        <v>1</v>
      </c>
      <c r="F20">
        <v>1</v>
      </c>
      <c r="G20">
        <v>1</v>
      </c>
      <c r="H20">
        <v>2</v>
      </c>
      <c r="I20" t="s">
        <v>512</v>
      </c>
      <c r="J20" t="s">
        <v>513</v>
      </c>
      <c r="K20" t="s">
        <v>514</v>
      </c>
      <c r="L20">
        <v>1368</v>
      </c>
      <c r="N20">
        <v>1011</v>
      </c>
      <c r="O20" t="s">
        <v>515</v>
      </c>
      <c r="P20" t="s">
        <v>515</v>
      </c>
      <c r="Q20">
        <v>1</v>
      </c>
      <c r="W20">
        <v>0</v>
      </c>
      <c r="X20">
        <v>-848025172</v>
      </c>
      <c r="Y20">
        <f t="shared" si="1"/>
        <v>8.3999999999999991E-2</v>
      </c>
      <c r="AA20">
        <v>0</v>
      </c>
      <c r="AB20">
        <v>1551.19</v>
      </c>
      <c r="AC20">
        <v>658.94</v>
      </c>
      <c r="AD20">
        <v>0</v>
      </c>
      <c r="AE20">
        <v>0</v>
      </c>
      <c r="AF20">
        <v>1551.19</v>
      </c>
      <c r="AG20">
        <v>658.94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0.12</v>
      </c>
      <c r="AU20" t="s">
        <v>98</v>
      </c>
      <c r="AV20">
        <v>1</v>
      </c>
      <c r="AW20">
        <v>2</v>
      </c>
      <c r="AX20">
        <v>65171052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186.14279999999999</v>
      </c>
      <c r="BL20">
        <v>79.072800000000001</v>
      </c>
      <c r="BM20">
        <v>0</v>
      </c>
      <c r="BN20">
        <v>0</v>
      </c>
      <c r="BO20">
        <v>0.12</v>
      </c>
      <c r="BP20">
        <v>1</v>
      </c>
      <c r="BQ20">
        <v>0</v>
      </c>
      <c r="BR20">
        <v>130.29996</v>
      </c>
      <c r="BS20">
        <v>55.350960000000001</v>
      </c>
      <c r="BT20">
        <v>0</v>
      </c>
      <c r="BU20">
        <v>0</v>
      </c>
      <c r="BV20">
        <v>8.3999999999999991E-2</v>
      </c>
      <c r="BW20">
        <v>1</v>
      </c>
      <c r="CV20">
        <v>0</v>
      </c>
      <c r="CW20">
        <f>ROUND(Y20*Source!I64*DO20,7)</f>
        <v>9.6970000000000008E-3</v>
      </c>
      <c r="CX20">
        <f>ROUND(Y20*Source!I64,7)</f>
        <v>9.6970000000000008E-3</v>
      </c>
      <c r="CY20">
        <f t="shared" si="6"/>
        <v>1551.19</v>
      </c>
      <c r="CZ20">
        <f t="shared" si="7"/>
        <v>1551.19</v>
      </c>
      <c r="DA20">
        <f t="shared" si="8"/>
        <v>1</v>
      </c>
      <c r="DB20">
        <f t="shared" si="2"/>
        <v>130.298</v>
      </c>
      <c r="DC20">
        <f t="shared" si="3"/>
        <v>55.348999999999997</v>
      </c>
      <c r="DD20" t="s">
        <v>3</v>
      </c>
      <c r="DE20" t="s">
        <v>3</v>
      </c>
      <c r="DF20">
        <f t="shared" si="4"/>
        <v>0</v>
      </c>
      <c r="DG20">
        <f>ROUND(ROUND(AF20,2)*CX20,2)</f>
        <v>15.04</v>
      </c>
      <c r="DH20">
        <f t="shared" si="0"/>
        <v>6.39</v>
      </c>
      <c r="DI20">
        <f t="shared" si="5"/>
        <v>0</v>
      </c>
      <c r="DJ20">
        <f t="shared" si="9"/>
        <v>21.43</v>
      </c>
      <c r="DK20">
        <v>1</v>
      </c>
      <c r="DL20" t="s">
        <v>516</v>
      </c>
      <c r="DM20">
        <v>6</v>
      </c>
      <c r="DN20" t="s">
        <v>509</v>
      </c>
      <c r="DO20">
        <v>1</v>
      </c>
    </row>
    <row r="21" spans="1:119" x14ac:dyDescent="0.2">
      <c r="A21">
        <f>ROW(Source!A64)</f>
        <v>64</v>
      </c>
      <c r="B21">
        <v>65170852</v>
      </c>
      <c r="C21">
        <v>65171026</v>
      </c>
      <c r="D21">
        <v>56571433</v>
      </c>
      <c r="E21">
        <v>1</v>
      </c>
      <c r="F21">
        <v>1</v>
      </c>
      <c r="G21">
        <v>1</v>
      </c>
      <c r="H21">
        <v>2</v>
      </c>
      <c r="I21" t="s">
        <v>517</v>
      </c>
      <c r="J21" t="s">
        <v>518</v>
      </c>
      <c r="K21" t="s">
        <v>519</v>
      </c>
      <c r="L21">
        <v>1368</v>
      </c>
      <c r="N21">
        <v>1011</v>
      </c>
      <c r="O21" t="s">
        <v>515</v>
      </c>
      <c r="P21" t="s">
        <v>515</v>
      </c>
      <c r="Q21">
        <v>1</v>
      </c>
      <c r="W21">
        <v>0</v>
      </c>
      <c r="X21">
        <v>-1087419069</v>
      </c>
      <c r="Y21">
        <f t="shared" si="1"/>
        <v>2.52</v>
      </c>
      <c r="AA21">
        <v>0</v>
      </c>
      <c r="AB21">
        <v>2180.2199999999998</v>
      </c>
      <c r="AC21">
        <v>658.94</v>
      </c>
      <c r="AD21">
        <v>0</v>
      </c>
      <c r="AE21">
        <v>0</v>
      </c>
      <c r="AF21">
        <v>1703.3</v>
      </c>
      <c r="AG21">
        <v>658.94</v>
      </c>
      <c r="AH21">
        <v>0</v>
      </c>
      <c r="AI21">
        <v>1</v>
      </c>
      <c r="AJ21">
        <v>1.28</v>
      </c>
      <c r="AK21">
        <v>1</v>
      </c>
      <c r="AL21">
        <v>1</v>
      </c>
      <c r="AM21">
        <v>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3.6</v>
      </c>
      <c r="AU21" t="s">
        <v>98</v>
      </c>
      <c r="AV21">
        <v>1</v>
      </c>
      <c r="AW21">
        <v>2</v>
      </c>
      <c r="AX21">
        <v>65171053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6131.88</v>
      </c>
      <c r="BL21">
        <v>2372.1840000000002</v>
      </c>
      <c r="BM21">
        <v>0</v>
      </c>
      <c r="BN21">
        <v>0</v>
      </c>
      <c r="BO21">
        <v>3.6</v>
      </c>
      <c r="BP21">
        <v>1</v>
      </c>
      <c r="BQ21">
        <v>0</v>
      </c>
      <c r="BR21">
        <v>4292.3159999999998</v>
      </c>
      <c r="BS21">
        <v>1660.5288</v>
      </c>
      <c r="BT21">
        <v>0</v>
      </c>
      <c r="BU21">
        <v>0</v>
      </c>
      <c r="BV21">
        <v>2.52</v>
      </c>
      <c r="BW21">
        <v>1</v>
      </c>
      <c r="CV21">
        <v>0</v>
      </c>
      <c r="CW21">
        <f>ROUND(Y21*Source!I64*DO21,7)</f>
        <v>0.29090880000000002</v>
      </c>
      <c r="CX21">
        <f>ROUND(Y21*Source!I64,7)</f>
        <v>0.29090880000000002</v>
      </c>
      <c r="CY21">
        <f t="shared" si="6"/>
        <v>2180.2199999999998</v>
      </c>
      <c r="CZ21">
        <f t="shared" si="7"/>
        <v>1703.3</v>
      </c>
      <c r="DA21">
        <f t="shared" si="8"/>
        <v>1.28</v>
      </c>
      <c r="DB21">
        <f t="shared" si="2"/>
        <v>4292.3159999999998</v>
      </c>
      <c r="DC21">
        <f t="shared" si="3"/>
        <v>1660.5260000000001</v>
      </c>
      <c r="DD21" t="s">
        <v>3</v>
      </c>
      <c r="DE21" t="s">
        <v>3</v>
      </c>
      <c r="DF21">
        <f t="shared" si="4"/>
        <v>0</v>
      </c>
      <c r="DG21">
        <f>ROUND(ROUND(AF21*AJ21,2)*CX21,2)</f>
        <v>634.25</v>
      </c>
      <c r="DH21">
        <f t="shared" si="0"/>
        <v>191.69</v>
      </c>
      <c r="DI21">
        <f t="shared" si="5"/>
        <v>0</v>
      </c>
      <c r="DJ21">
        <f t="shared" si="9"/>
        <v>825.94</v>
      </c>
      <c r="DK21">
        <v>0</v>
      </c>
      <c r="DL21" t="s">
        <v>516</v>
      </c>
      <c r="DM21">
        <v>6</v>
      </c>
      <c r="DN21" t="s">
        <v>509</v>
      </c>
      <c r="DO21">
        <v>1</v>
      </c>
    </row>
    <row r="22" spans="1:119" x14ac:dyDescent="0.2">
      <c r="A22">
        <f>ROW(Source!A64)</f>
        <v>64</v>
      </c>
      <c r="B22">
        <v>65170852</v>
      </c>
      <c r="C22">
        <v>65171026</v>
      </c>
      <c r="D22">
        <v>56572833</v>
      </c>
      <c r="E22">
        <v>1</v>
      </c>
      <c r="F22">
        <v>1</v>
      </c>
      <c r="G22">
        <v>1</v>
      </c>
      <c r="H22">
        <v>2</v>
      </c>
      <c r="I22" t="s">
        <v>520</v>
      </c>
      <c r="J22" t="s">
        <v>521</v>
      </c>
      <c r="K22" t="s">
        <v>522</v>
      </c>
      <c r="L22">
        <v>1368</v>
      </c>
      <c r="N22">
        <v>1011</v>
      </c>
      <c r="O22" t="s">
        <v>515</v>
      </c>
      <c r="P22" t="s">
        <v>515</v>
      </c>
      <c r="Q22">
        <v>1</v>
      </c>
      <c r="W22">
        <v>0</v>
      </c>
      <c r="X22">
        <v>1230426758</v>
      </c>
      <c r="Y22">
        <f t="shared" si="1"/>
        <v>0.13299999999999998</v>
      </c>
      <c r="AA22">
        <v>0</v>
      </c>
      <c r="AB22">
        <v>578.28</v>
      </c>
      <c r="AC22">
        <v>490.55</v>
      </c>
      <c r="AD22">
        <v>0</v>
      </c>
      <c r="AE22">
        <v>0</v>
      </c>
      <c r="AF22">
        <v>477.92</v>
      </c>
      <c r="AG22">
        <v>490.55</v>
      </c>
      <c r="AH22">
        <v>0</v>
      </c>
      <c r="AI22">
        <v>1</v>
      </c>
      <c r="AJ22">
        <v>1.21</v>
      </c>
      <c r="AK22">
        <v>1</v>
      </c>
      <c r="AL22">
        <v>1</v>
      </c>
      <c r="AM22">
        <v>2</v>
      </c>
      <c r="AN22">
        <v>0</v>
      </c>
      <c r="AO22">
        <v>0</v>
      </c>
      <c r="AP22">
        <v>1</v>
      </c>
      <c r="AQ22">
        <v>1</v>
      </c>
      <c r="AR22">
        <v>0</v>
      </c>
      <c r="AS22" t="s">
        <v>3</v>
      </c>
      <c r="AT22">
        <v>0.19</v>
      </c>
      <c r="AU22" t="s">
        <v>98</v>
      </c>
      <c r="AV22">
        <v>1</v>
      </c>
      <c r="AW22">
        <v>2</v>
      </c>
      <c r="AX22">
        <v>65171054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90.8048</v>
      </c>
      <c r="BL22">
        <v>93.20450000000001</v>
      </c>
      <c r="BM22">
        <v>0</v>
      </c>
      <c r="BN22">
        <v>0</v>
      </c>
      <c r="BO22">
        <v>0.19</v>
      </c>
      <c r="BP22">
        <v>1</v>
      </c>
      <c r="BQ22">
        <v>0</v>
      </c>
      <c r="BR22">
        <v>63.563359999999989</v>
      </c>
      <c r="BS22">
        <v>65.243149999999986</v>
      </c>
      <c r="BT22">
        <v>0</v>
      </c>
      <c r="BU22">
        <v>0</v>
      </c>
      <c r="BV22">
        <v>0.13299999999999998</v>
      </c>
      <c r="BW22">
        <v>1</v>
      </c>
      <c r="CV22">
        <v>0</v>
      </c>
      <c r="CW22">
        <f>ROUND(Y22*Source!I64*DO22,7)</f>
        <v>1.5353500000000001E-2</v>
      </c>
      <c r="CX22">
        <f>ROUND(Y22*Source!I64,7)</f>
        <v>1.5353500000000001E-2</v>
      </c>
      <c r="CY22">
        <f t="shared" si="6"/>
        <v>578.28</v>
      </c>
      <c r="CZ22">
        <f t="shared" si="7"/>
        <v>477.92</v>
      </c>
      <c r="DA22">
        <f t="shared" si="8"/>
        <v>1.21</v>
      </c>
      <c r="DB22">
        <f t="shared" si="2"/>
        <v>63.56</v>
      </c>
      <c r="DC22">
        <f t="shared" si="3"/>
        <v>65.239999999999995</v>
      </c>
      <c r="DD22" t="s">
        <v>3</v>
      </c>
      <c r="DE22" t="s">
        <v>3</v>
      </c>
      <c r="DF22">
        <f t="shared" si="4"/>
        <v>0</v>
      </c>
      <c r="DG22">
        <f>ROUND(ROUND(AF22*AJ22,2)*CX22,2)</f>
        <v>8.8800000000000008</v>
      </c>
      <c r="DH22">
        <f t="shared" si="0"/>
        <v>7.53</v>
      </c>
      <c r="DI22">
        <f t="shared" si="5"/>
        <v>0</v>
      </c>
      <c r="DJ22">
        <f t="shared" si="9"/>
        <v>16.41</v>
      </c>
      <c r="DK22">
        <v>0</v>
      </c>
      <c r="DL22" t="s">
        <v>523</v>
      </c>
      <c r="DM22">
        <v>4</v>
      </c>
      <c r="DN22" t="s">
        <v>509</v>
      </c>
      <c r="DO22">
        <v>1</v>
      </c>
    </row>
    <row r="23" spans="1:119" x14ac:dyDescent="0.2">
      <c r="A23">
        <f>ROW(Source!A64)</f>
        <v>64</v>
      </c>
      <c r="B23">
        <v>65170852</v>
      </c>
      <c r="C23">
        <v>65171026</v>
      </c>
      <c r="D23">
        <v>56573083</v>
      </c>
      <c r="E23">
        <v>1</v>
      </c>
      <c r="F23">
        <v>1</v>
      </c>
      <c r="G23">
        <v>1</v>
      </c>
      <c r="H23">
        <v>2</v>
      </c>
      <c r="I23" t="s">
        <v>537</v>
      </c>
      <c r="J23" t="s">
        <v>538</v>
      </c>
      <c r="K23" t="s">
        <v>539</v>
      </c>
      <c r="L23">
        <v>1368</v>
      </c>
      <c r="N23">
        <v>1011</v>
      </c>
      <c r="O23" t="s">
        <v>515</v>
      </c>
      <c r="P23" t="s">
        <v>515</v>
      </c>
      <c r="Q23">
        <v>1</v>
      </c>
      <c r="W23">
        <v>0</v>
      </c>
      <c r="X23">
        <v>1429172998</v>
      </c>
      <c r="Y23">
        <f t="shared" si="1"/>
        <v>1.022</v>
      </c>
      <c r="AA23">
        <v>0</v>
      </c>
      <c r="AB23">
        <v>5.35</v>
      </c>
      <c r="AC23">
        <v>0</v>
      </c>
      <c r="AD23">
        <v>0</v>
      </c>
      <c r="AE23">
        <v>0</v>
      </c>
      <c r="AF23">
        <v>4.3499999999999996</v>
      </c>
      <c r="AG23">
        <v>0</v>
      </c>
      <c r="AH23">
        <v>0</v>
      </c>
      <c r="AI23">
        <v>1</v>
      </c>
      <c r="AJ23">
        <v>1.23</v>
      </c>
      <c r="AK23">
        <v>1</v>
      </c>
      <c r="AL23">
        <v>1</v>
      </c>
      <c r="AM23">
        <v>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3</v>
      </c>
      <c r="AT23">
        <v>1.46</v>
      </c>
      <c r="AU23" t="s">
        <v>98</v>
      </c>
      <c r="AV23">
        <v>1</v>
      </c>
      <c r="AW23">
        <v>2</v>
      </c>
      <c r="AX23">
        <v>65171055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6.3509999999999991</v>
      </c>
      <c r="BL23">
        <v>0</v>
      </c>
      <c r="BM23">
        <v>0</v>
      </c>
      <c r="BN23">
        <v>0</v>
      </c>
      <c r="BO23">
        <v>0</v>
      </c>
      <c r="BP23">
        <v>1</v>
      </c>
      <c r="BQ23">
        <v>0</v>
      </c>
      <c r="BR23">
        <v>4.4456999999999995</v>
      </c>
      <c r="BS23">
        <v>0</v>
      </c>
      <c r="BT23">
        <v>0</v>
      </c>
      <c r="BU23">
        <v>0</v>
      </c>
      <c r="BV23">
        <v>0</v>
      </c>
      <c r="BW23">
        <v>1</v>
      </c>
      <c r="CV23">
        <v>0</v>
      </c>
      <c r="CW23">
        <f>ROUND(Y23*Source!I64*DO23,7)</f>
        <v>0</v>
      </c>
      <c r="CX23">
        <f>ROUND(Y23*Source!I64,7)</f>
        <v>0.11797970000000001</v>
      </c>
      <c r="CY23">
        <f t="shared" si="6"/>
        <v>5.35</v>
      </c>
      <c r="CZ23">
        <f t="shared" si="7"/>
        <v>4.3499999999999996</v>
      </c>
      <c r="DA23">
        <f t="shared" si="8"/>
        <v>1.23</v>
      </c>
      <c r="DB23">
        <f t="shared" si="2"/>
        <v>4.4450000000000003</v>
      </c>
      <c r="DC23">
        <f t="shared" si="3"/>
        <v>0</v>
      </c>
      <c r="DD23" t="s">
        <v>3</v>
      </c>
      <c r="DE23" t="s">
        <v>3</v>
      </c>
      <c r="DF23">
        <f t="shared" si="4"/>
        <v>0</v>
      </c>
      <c r="DG23">
        <f>ROUND(ROUND(AF23*AJ23,2)*CX23,2)</f>
        <v>0.63</v>
      </c>
      <c r="DH23">
        <f t="shared" si="0"/>
        <v>0</v>
      </c>
      <c r="DI23">
        <f t="shared" si="5"/>
        <v>0</v>
      </c>
      <c r="DJ23">
        <f t="shared" si="9"/>
        <v>0.63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ROW(Source!A64)</f>
        <v>64</v>
      </c>
      <c r="B24">
        <v>65170852</v>
      </c>
      <c r="C24">
        <v>65171026</v>
      </c>
      <c r="D24">
        <v>56573131</v>
      </c>
      <c r="E24">
        <v>1</v>
      </c>
      <c r="F24">
        <v>1</v>
      </c>
      <c r="G24">
        <v>1</v>
      </c>
      <c r="H24">
        <v>2</v>
      </c>
      <c r="I24" t="s">
        <v>540</v>
      </c>
      <c r="J24" t="s">
        <v>541</v>
      </c>
      <c r="K24" t="s">
        <v>542</v>
      </c>
      <c r="L24">
        <v>1368</v>
      </c>
      <c r="N24">
        <v>1011</v>
      </c>
      <c r="O24" t="s">
        <v>515</v>
      </c>
      <c r="P24" t="s">
        <v>515</v>
      </c>
      <c r="Q24">
        <v>1</v>
      </c>
      <c r="W24">
        <v>0</v>
      </c>
      <c r="X24">
        <v>2029615687</v>
      </c>
      <c r="Y24">
        <f t="shared" si="1"/>
        <v>6.9999999999999993E-2</v>
      </c>
      <c r="AA24">
        <v>0</v>
      </c>
      <c r="AB24">
        <v>61.72</v>
      </c>
      <c r="AC24">
        <v>0</v>
      </c>
      <c r="AD24">
        <v>0</v>
      </c>
      <c r="AE24">
        <v>0</v>
      </c>
      <c r="AF24">
        <v>61.72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0.1</v>
      </c>
      <c r="AU24" t="s">
        <v>98</v>
      </c>
      <c r="AV24">
        <v>1</v>
      </c>
      <c r="AW24">
        <v>2</v>
      </c>
      <c r="AX24">
        <v>65171056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6.1720000000000006</v>
      </c>
      <c r="BL24">
        <v>0</v>
      </c>
      <c r="BM24">
        <v>0</v>
      </c>
      <c r="BN24">
        <v>0</v>
      </c>
      <c r="BO24">
        <v>0</v>
      </c>
      <c r="BP24">
        <v>1</v>
      </c>
      <c r="BQ24">
        <v>0</v>
      </c>
      <c r="BR24">
        <v>4.3203999999999994</v>
      </c>
      <c r="BS24">
        <v>0</v>
      </c>
      <c r="BT24">
        <v>0</v>
      </c>
      <c r="BU24">
        <v>0</v>
      </c>
      <c r="BV24">
        <v>0</v>
      </c>
      <c r="BW24">
        <v>1</v>
      </c>
      <c r="CV24">
        <v>0</v>
      </c>
      <c r="CW24">
        <f>ROUND(Y24*Source!I64*DO24,7)</f>
        <v>0</v>
      </c>
      <c r="CX24">
        <f>ROUND(Y24*Source!I64,7)</f>
        <v>8.0808000000000008E-3</v>
      </c>
      <c r="CY24">
        <f t="shared" si="6"/>
        <v>61.72</v>
      </c>
      <c r="CZ24">
        <f t="shared" si="7"/>
        <v>61.72</v>
      </c>
      <c r="DA24">
        <f t="shared" si="8"/>
        <v>1</v>
      </c>
      <c r="DB24">
        <f t="shared" si="2"/>
        <v>4.319</v>
      </c>
      <c r="DC24">
        <f t="shared" si="3"/>
        <v>0</v>
      </c>
      <c r="DD24" t="s">
        <v>3</v>
      </c>
      <c r="DE24" t="s">
        <v>3</v>
      </c>
      <c r="DF24">
        <f t="shared" si="4"/>
        <v>0</v>
      </c>
      <c r="DG24">
        <f t="shared" ref="DG24:DG57" si="10">ROUND(ROUND(AF24,2)*CX24,2)</f>
        <v>0.5</v>
      </c>
      <c r="DH24">
        <f t="shared" si="0"/>
        <v>0</v>
      </c>
      <c r="DI24">
        <f t="shared" si="5"/>
        <v>0</v>
      </c>
      <c r="DJ24">
        <f t="shared" si="9"/>
        <v>0.5</v>
      </c>
      <c r="DK24">
        <v>1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ROW(Source!A64)</f>
        <v>64</v>
      </c>
      <c r="B25">
        <v>65170852</v>
      </c>
      <c r="C25">
        <v>65171026</v>
      </c>
      <c r="D25">
        <v>56574903</v>
      </c>
      <c r="E25">
        <v>1</v>
      </c>
      <c r="F25">
        <v>1</v>
      </c>
      <c r="G25">
        <v>1</v>
      </c>
      <c r="H25">
        <v>3</v>
      </c>
      <c r="I25" t="s">
        <v>543</v>
      </c>
      <c r="J25" t="s">
        <v>544</v>
      </c>
      <c r="K25" t="s">
        <v>545</v>
      </c>
      <c r="L25">
        <v>1339</v>
      </c>
      <c r="N25">
        <v>1007</v>
      </c>
      <c r="O25" t="s">
        <v>129</v>
      </c>
      <c r="P25" t="s">
        <v>129</v>
      </c>
      <c r="Q25">
        <v>1</v>
      </c>
      <c r="W25">
        <v>0</v>
      </c>
      <c r="X25">
        <v>-405651238</v>
      </c>
      <c r="Y25">
        <f t="shared" ref="Y25:Y38" si="11">(AT25*ROUND(0,7))</f>
        <v>0</v>
      </c>
      <c r="AA25">
        <v>90.57</v>
      </c>
      <c r="AB25">
        <v>0</v>
      </c>
      <c r="AC25">
        <v>0</v>
      </c>
      <c r="AD25">
        <v>0</v>
      </c>
      <c r="AE25">
        <v>114.64</v>
      </c>
      <c r="AF25">
        <v>0</v>
      </c>
      <c r="AG25">
        <v>0</v>
      </c>
      <c r="AH25">
        <v>0</v>
      </c>
      <c r="AI25">
        <v>0.79</v>
      </c>
      <c r="AJ25">
        <v>1</v>
      </c>
      <c r="AK25">
        <v>1</v>
      </c>
      <c r="AL25">
        <v>1</v>
      </c>
      <c r="AM25">
        <v>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1.2</v>
      </c>
      <c r="AU25" t="s">
        <v>97</v>
      </c>
      <c r="AV25">
        <v>0</v>
      </c>
      <c r="AW25">
        <v>2</v>
      </c>
      <c r="AX25">
        <v>65171057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137.56799999999998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1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ROUND(Y25*Source!I64,7)</f>
        <v>0</v>
      </c>
      <c r="CY25">
        <f t="shared" ref="CY25:CY38" si="12">AA25</f>
        <v>90.57</v>
      </c>
      <c r="CZ25">
        <f t="shared" ref="CZ25:CZ38" si="13">AE25</f>
        <v>114.64</v>
      </c>
      <c r="DA25">
        <f t="shared" ref="DA25:DA38" si="14">AI25</f>
        <v>0.79</v>
      </c>
      <c r="DB25">
        <f t="shared" ref="DB25:DB38" si="15">ROUND((ROUND(AT25*CZ25,2)*ROUND(0,7)),6)</f>
        <v>0</v>
      </c>
      <c r="DC25">
        <f t="shared" ref="DC25:DC38" si="16">ROUND((ROUND(AT25*AG25,2)*ROUND(0,7)),6)</f>
        <v>0</v>
      </c>
      <c r="DD25" t="s">
        <v>3</v>
      </c>
      <c r="DE25" t="s">
        <v>3</v>
      </c>
      <c r="DF25">
        <f t="shared" ref="DF25:DF30" si="17">ROUND(ROUND(AE25*AI25,2)*CX25,2)</f>
        <v>0</v>
      </c>
      <c r="DG25">
        <f t="shared" si="10"/>
        <v>0</v>
      </c>
      <c r="DH25">
        <f t="shared" si="0"/>
        <v>0</v>
      </c>
      <c r="DI25">
        <f t="shared" si="5"/>
        <v>0</v>
      </c>
      <c r="DJ25">
        <f t="shared" ref="DJ25:DJ38" si="18">DF25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ROW(Source!A64)</f>
        <v>64</v>
      </c>
      <c r="B26">
        <v>65170852</v>
      </c>
      <c r="C26">
        <v>65171026</v>
      </c>
      <c r="D26">
        <v>56574909</v>
      </c>
      <c r="E26">
        <v>1</v>
      </c>
      <c r="F26">
        <v>1</v>
      </c>
      <c r="G26">
        <v>1</v>
      </c>
      <c r="H26">
        <v>3</v>
      </c>
      <c r="I26" t="s">
        <v>546</v>
      </c>
      <c r="J26" t="s">
        <v>547</v>
      </c>
      <c r="K26" t="s">
        <v>548</v>
      </c>
      <c r="L26">
        <v>1346</v>
      </c>
      <c r="N26">
        <v>1009</v>
      </c>
      <c r="O26" t="s">
        <v>549</v>
      </c>
      <c r="P26" t="s">
        <v>549</v>
      </c>
      <c r="Q26">
        <v>1</v>
      </c>
      <c r="W26">
        <v>0</v>
      </c>
      <c r="X26">
        <v>-1420688185</v>
      </c>
      <c r="Y26">
        <f t="shared" si="11"/>
        <v>0</v>
      </c>
      <c r="AA26">
        <v>50.07</v>
      </c>
      <c r="AB26">
        <v>0</v>
      </c>
      <c r="AC26">
        <v>0</v>
      </c>
      <c r="AD26">
        <v>0</v>
      </c>
      <c r="AE26">
        <v>41.38</v>
      </c>
      <c r="AF26">
        <v>0</v>
      </c>
      <c r="AG26">
        <v>0</v>
      </c>
      <c r="AH26">
        <v>0</v>
      </c>
      <c r="AI26">
        <v>1.21</v>
      </c>
      <c r="AJ26">
        <v>1</v>
      </c>
      <c r="AK26">
        <v>1</v>
      </c>
      <c r="AL26">
        <v>1</v>
      </c>
      <c r="AM26">
        <v>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0.36</v>
      </c>
      <c r="AU26" t="s">
        <v>97</v>
      </c>
      <c r="AV26">
        <v>0</v>
      </c>
      <c r="AW26">
        <v>2</v>
      </c>
      <c r="AX26">
        <v>65171058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14.896800000000001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1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ROUND(Y26*Source!I64,7)</f>
        <v>0</v>
      </c>
      <c r="CY26">
        <f t="shared" si="12"/>
        <v>50.07</v>
      </c>
      <c r="CZ26">
        <f t="shared" si="13"/>
        <v>41.38</v>
      </c>
      <c r="DA26">
        <f t="shared" si="14"/>
        <v>1.21</v>
      </c>
      <c r="DB26">
        <f t="shared" si="15"/>
        <v>0</v>
      </c>
      <c r="DC26">
        <f t="shared" si="16"/>
        <v>0</v>
      </c>
      <c r="DD26" t="s">
        <v>3</v>
      </c>
      <c r="DE26" t="s">
        <v>3</v>
      </c>
      <c r="DF26">
        <f t="shared" si="17"/>
        <v>0</v>
      </c>
      <c r="DG26">
        <f t="shared" si="10"/>
        <v>0</v>
      </c>
      <c r="DH26">
        <f t="shared" si="0"/>
        <v>0</v>
      </c>
      <c r="DI26">
        <f t="shared" si="5"/>
        <v>0</v>
      </c>
      <c r="DJ26">
        <f t="shared" si="18"/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ROW(Source!A64)</f>
        <v>64</v>
      </c>
      <c r="B27">
        <v>65170852</v>
      </c>
      <c r="C27">
        <v>65171026</v>
      </c>
      <c r="D27">
        <v>56579266</v>
      </c>
      <c r="E27">
        <v>1</v>
      </c>
      <c r="F27">
        <v>1</v>
      </c>
      <c r="G27">
        <v>1</v>
      </c>
      <c r="H27">
        <v>3</v>
      </c>
      <c r="I27" t="s">
        <v>550</v>
      </c>
      <c r="J27" t="s">
        <v>551</v>
      </c>
      <c r="K27" t="s">
        <v>552</v>
      </c>
      <c r="L27">
        <v>1346</v>
      </c>
      <c r="N27">
        <v>1009</v>
      </c>
      <c r="O27" t="s">
        <v>549</v>
      </c>
      <c r="P27" t="s">
        <v>549</v>
      </c>
      <c r="Q27">
        <v>1</v>
      </c>
      <c r="W27">
        <v>0</v>
      </c>
      <c r="X27">
        <v>-1545686836</v>
      </c>
      <c r="Y27">
        <f t="shared" si="11"/>
        <v>0</v>
      </c>
      <c r="AA27">
        <v>147.85</v>
      </c>
      <c r="AB27">
        <v>0</v>
      </c>
      <c r="AC27">
        <v>0</v>
      </c>
      <c r="AD27">
        <v>0</v>
      </c>
      <c r="AE27">
        <v>155.63</v>
      </c>
      <c r="AF27">
        <v>0</v>
      </c>
      <c r="AG27">
        <v>0</v>
      </c>
      <c r="AH27">
        <v>0</v>
      </c>
      <c r="AI27">
        <v>0.95</v>
      </c>
      <c r="AJ27">
        <v>1</v>
      </c>
      <c r="AK27">
        <v>1</v>
      </c>
      <c r="AL27">
        <v>1</v>
      </c>
      <c r="AM27">
        <v>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0.44</v>
      </c>
      <c r="AU27" t="s">
        <v>97</v>
      </c>
      <c r="AV27">
        <v>0</v>
      </c>
      <c r="AW27">
        <v>2</v>
      </c>
      <c r="AX27">
        <v>65171059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68.477199999999996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ROUND(Y27*Source!I64,7)</f>
        <v>0</v>
      </c>
      <c r="CY27">
        <f t="shared" si="12"/>
        <v>147.85</v>
      </c>
      <c r="CZ27">
        <f t="shared" si="13"/>
        <v>155.63</v>
      </c>
      <c r="DA27">
        <f t="shared" si="14"/>
        <v>0.95</v>
      </c>
      <c r="DB27">
        <f t="shared" si="15"/>
        <v>0</v>
      </c>
      <c r="DC27">
        <f t="shared" si="16"/>
        <v>0</v>
      </c>
      <c r="DD27" t="s">
        <v>3</v>
      </c>
      <c r="DE27" t="s">
        <v>3</v>
      </c>
      <c r="DF27">
        <f t="shared" si="17"/>
        <v>0</v>
      </c>
      <c r="DG27">
        <f t="shared" si="10"/>
        <v>0</v>
      </c>
      <c r="DH27">
        <f t="shared" si="0"/>
        <v>0</v>
      </c>
      <c r="DI27">
        <f t="shared" si="5"/>
        <v>0</v>
      </c>
      <c r="DJ27">
        <f t="shared" si="18"/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ROW(Source!A64)</f>
        <v>64</v>
      </c>
      <c r="B28">
        <v>65170852</v>
      </c>
      <c r="C28">
        <v>65171026</v>
      </c>
      <c r="D28">
        <v>56580368</v>
      </c>
      <c r="E28">
        <v>1</v>
      </c>
      <c r="F28">
        <v>1</v>
      </c>
      <c r="G28">
        <v>1</v>
      </c>
      <c r="H28">
        <v>3</v>
      </c>
      <c r="I28" t="s">
        <v>553</v>
      </c>
      <c r="J28" t="s">
        <v>554</v>
      </c>
      <c r="K28" t="s">
        <v>555</v>
      </c>
      <c r="L28">
        <v>1346</v>
      </c>
      <c r="N28">
        <v>1009</v>
      </c>
      <c r="O28" t="s">
        <v>549</v>
      </c>
      <c r="P28" t="s">
        <v>549</v>
      </c>
      <c r="Q28">
        <v>1</v>
      </c>
      <c r="W28">
        <v>0</v>
      </c>
      <c r="X28">
        <v>-385218612</v>
      </c>
      <c r="Y28">
        <f t="shared" si="11"/>
        <v>0</v>
      </c>
      <c r="AA28">
        <v>201.17</v>
      </c>
      <c r="AB28">
        <v>0</v>
      </c>
      <c r="AC28">
        <v>0</v>
      </c>
      <c r="AD28">
        <v>0</v>
      </c>
      <c r="AE28">
        <v>174.93</v>
      </c>
      <c r="AF28">
        <v>0</v>
      </c>
      <c r="AG28">
        <v>0</v>
      </c>
      <c r="AH28">
        <v>0</v>
      </c>
      <c r="AI28">
        <v>1.1499999999999999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21</v>
      </c>
      <c r="AU28" t="s">
        <v>97</v>
      </c>
      <c r="AV28">
        <v>0</v>
      </c>
      <c r="AW28">
        <v>2</v>
      </c>
      <c r="AX28">
        <v>65171060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3673.53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ROUND(Y28*Source!I64,7)</f>
        <v>0</v>
      </c>
      <c r="CY28">
        <f t="shared" si="12"/>
        <v>201.17</v>
      </c>
      <c r="CZ28">
        <f t="shared" si="13"/>
        <v>174.93</v>
      </c>
      <c r="DA28">
        <f t="shared" si="14"/>
        <v>1.1499999999999999</v>
      </c>
      <c r="DB28">
        <f t="shared" si="15"/>
        <v>0</v>
      </c>
      <c r="DC28">
        <f t="shared" si="16"/>
        <v>0</v>
      </c>
      <c r="DD28" t="s">
        <v>3</v>
      </c>
      <c r="DE28" t="s">
        <v>3</v>
      </c>
      <c r="DF28">
        <f t="shared" si="17"/>
        <v>0</v>
      </c>
      <c r="DG28">
        <f t="shared" si="10"/>
        <v>0</v>
      </c>
      <c r="DH28">
        <f t="shared" si="0"/>
        <v>0</v>
      </c>
      <c r="DI28">
        <f t="shared" si="5"/>
        <v>0</v>
      </c>
      <c r="DJ28">
        <f t="shared" si="18"/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ROW(Source!A64)</f>
        <v>64</v>
      </c>
      <c r="B29">
        <v>65170852</v>
      </c>
      <c r="C29">
        <v>65171026</v>
      </c>
      <c r="D29">
        <v>56580463</v>
      </c>
      <c r="E29">
        <v>1</v>
      </c>
      <c r="F29">
        <v>1</v>
      </c>
      <c r="G29">
        <v>1</v>
      </c>
      <c r="H29">
        <v>3</v>
      </c>
      <c r="I29" t="s">
        <v>556</v>
      </c>
      <c r="J29" t="s">
        <v>557</v>
      </c>
      <c r="K29" t="s">
        <v>558</v>
      </c>
      <c r="L29">
        <v>1348</v>
      </c>
      <c r="N29">
        <v>1009</v>
      </c>
      <c r="O29" t="s">
        <v>94</v>
      </c>
      <c r="P29" t="s">
        <v>94</v>
      </c>
      <c r="Q29">
        <v>1000</v>
      </c>
      <c r="W29">
        <v>0</v>
      </c>
      <c r="X29">
        <v>1609662124</v>
      </c>
      <c r="Y29">
        <f t="shared" si="11"/>
        <v>0</v>
      </c>
      <c r="AA29">
        <v>87870.25</v>
      </c>
      <c r="AB29">
        <v>0</v>
      </c>
      <c r="AC29">
        <v>0</v>
      </c>
      <c r="AD29">
        <v>0</v>
      </c>
      <c r="AE29">
        <v>70296.2</v>
      </c>
      <c r="AF29">
        <v>0</v>
      </c>
      <c r="AG29">
        <v>0</v>
      </c>
      <c r="AH29">
        <v>0</v>
      </c>
      <c r="AI29">
        <v>1.25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1.0000000000000001E-5</v>
      </c>
      <c r="AU29" t="s">
        <v>97</v>
      </c>
      <c r="AV29">
        <v>0</v>
      </c>
      <c r="AW29">
        <v>2</v>
      </c>
      <c r="AX29">
        <v>65171061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0.70296199999999998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ROUND(Y29*Source!I64,7)</f>
        <v>0</v>
      </c>
      <c r="CY29">
        <f t="shared" si="12"/>
        <v>87870.25</v>
      </c>
      <c r="CZ29">
        <f t="shared" si="13"/>
        <v>70296.2</v>
      </c>
      <c r="DA29">
        <f t="shared" si="14"/>
        <v>1.25</v>
      </c>
      <c r="DB29">
        <f t="shared" si="15"/>
        <v>0</v>
      </c>
      <c r="DC29">
        <f t="shared" si="16"/>
        <v>0</v>
      </c>
      <c r="DD29" t="s">
        <v>3</v>
      </c>
      <c r="DE29" t="s">
        <v>3</v>
      </c>
      <c r="DF29">
        <f t="shared" si="17"/>
        <v>0</v>
      </c>
      <c r="DG29">
        <f t="shared" si="10"/>
        <v>0</v>
      </c>
      <c r="DH29">
        <f t="shared" si="0"/>
        <v>0</v>
      </c>
      <c r="DI29">
        <f t="shared" si="5"/>
        <v>0</v>
      </c>
      <c r="DJ29">
        <f t="shared" si="18"/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ROW(Source!A64)</f>
        <v>64</v>
      </c>
      <c r="B30">
        <v>65170852</v>
      </c>
      <c r="C30">
        <v>65171026</v>
      </c>
      <c r="D30">
        <v>56582411</v>
      </c>
      <c r="E30">
        <v>1</v>
      </c>
      <c r="F30">
        <v>1</v>
      </c>
      <c r="G30">
        <v>1</v>
      </c>
      <c r="H30">
        <v>3</v>
      </c>
      <c r="I30" t="s">
        <v>559</v>
      </c>
      <c r="J30" t="s">
        <v>560</v>
      </c>
      <c r="K30" t="s">
        <v>561</v>
      </c>
      <c r="L30">
        <v>1348</v>
      </c>
      <c r="N30">
        <v>1009</v>
      </c>
      <c r="O30" t="s">
        <v>94</v>
      </c>
      <c r="P30" t="s">
        <v>94</v>
      </c>
      <c r="Q30">
        <v>1000</v>
      </c>
      <c r="W30">
        <v>0</v>
      </c>
      <c r="X30">
        <v>-6593219</v>
      </c>
      <c r="Y30">
        <f t="shared" si="11"/>
        <v>0</v>
      </c>
      <c r="AA30">
        <v>322184.42</v>
      </c>
      <c r="AB30">
        <v>0</v>
      </c>
      <c r="AC30">
        <v>0</v>
      </c>
      <c r="AD30">
        <v>0</v>
      </c>
      <c r="AE30">
        <v>231787.35</v>
      </c>
      <c r="AF30">
        <v>0</v>
      </c>
      <c r="AG30">
        <v>0</v>
      </c>
      <c r="AH30">
        <v>0</v>
      </c>
      <c r="AI30">
        <v>1.39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3</v>
      </c>
      <c r="AT30">
        <v>1E-4</v>
      </c>
      <c r="AU30" t="s">
        <v>97</v>
      </c>
      <c r="AV30">
        <v>0</v>
      </c>
      <c r="AW30">
        <v>2</v>
      </c>
      <c r="AX30">
        <v>65171062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23.178735000000003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1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ROUND(Y30*Source!I64,7)</f>
        <v>0</v>
      </c>
      <c r="CY30">
        <f t="shared" si="12"/>
        <v>322184.42</v>
      </c>
      <c r="CZ30">
        <f t="shared" si="13"/>
        <v>231787.35</v>
      </c>
      <c r="DA30">
        <f t="shared" si="14"/>
        <v>1.39</v>
      </c>
      <c r="DB30">
        <f t="shared" si="15"/>
        <v>0</v>
      </c>
      <c r="DC30">
        <f t="shared" si="16"/>
        <v>0</v>
      </c>
      <c r="DD30" t="s">
        <v>3</v>
      </c>
      <c r="DE30" t="s">
        <v>3</v>
      </c>
      <c r="DF30">
        <f t="shared" si="17"/>
        <v>0</v>
      </c>
      <c r="DG30">
        <f t="shared" si="10"/>
        <v>0</v>
      </c>
      <c r="DH30">
        <f t="shared" si="0"/>
        <v>0</v>
      </c>
      <c r="DI30">
        <f t="shared" si="5"/>
        <v>0</v>
      </c>
      <c r="DJ30">
        <f t="shared" si="18"/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ROW(Source!A64)</f>
        <v>64</v>
      </c>
      <c r="B31">
        <v>65170852</v>
      </c>
      <c r="C31">
        <v>65171026</v>
      </c>
      <c r="D31">
        <v>56219768</v>
      </c>
      <c r="E31">
        <v>108</v>
      </c>
      <c r="F31">
        <v>1</v>
      </c>
      <c r="G31">
        <v>1</v>
      </c>
      <c r="H31">
        <v>3</v>
      </c>
      <c r="I31" t="s">
        <v>562</v>
      </c>
      <c r="J31" t="s">
        <v>3</v>
      </c>
      <c r="K31" t="s">
        <v>563</v>
      </c>
      <c r="L31">
        <v>1348</v>
      </c>
      <c r="N31">
        <v>1009</v>
      </c>
      <c r="O31" t="s">
        <v>94</v>
      </c>
      <c r="P31" t="s">
        <v>94</v>
      </c>
      <c r="Q31">
        <v>1000</v>
      </c>
      <c r="W31">
        <v>0</v>
      </c>
      <c r="X31">
        <v>-1422279583</v>
      </c>
      <c r="Y31">
        <f t="shared" si="11"/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3</v>
      </c>
      <c r="AT31">
        <v>1</v>
      </c>
      <c r="AU31" t="s">
        <v>97</v>
      </c>
      <c r="AV31">
        <v>0</v>
      </c>
      <c r="AW31">
        <v>2</v>
      </c>
      <c r="AX31">
        <v>65171063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ROUND(Y31*Source!I64,7)</f>
        <v>0</v>
      </c>
      <c r="CY31">
        <f t="shared" si="12"/>
        <v>0</v>
      </c>
      <c r="CZ31">
        <f t="shared" si="13"/>
        <v>0</v>
      </c>
      <c r="DA31">
        <f t="shared" si="14"/>
        <v>1</v>
      </c>
      <c r="DB31">
        <f t="shared" si="15"/>
        <v>0</v>
      </c>
      <c r="DC31">
        <f t="shared" si="16"/>
        <v>0</v>
      </c>
      <c r="DD31" t="s">
        <v>3</v>
      </c>
      <c r="DE31" t="s">
        <v>3</v>
      </c>
      <c r="DF31">
        <f>ROUND(ROUND(AE31,2)*CX31,2)</f>
        <v>0</v>
      </c>
      <c r="DG31">
        <f t="shared" si="10"/>
        <v>0</v>
      </c>
      <c r="DH31">
        <f t="shared" si="0"/>
        <v>0</v>
      </c>
      <c r="DI31">
        <f t="shared" si="5"/>
        <v>0</v>
      </c>
      <c r="DJ31">
        <f t="shared" si="18"/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ROW(Source!A64)</f>
        <v>64</v>
      </c>
      <c r="B32">
        <v>65170852</v>
      </c>
      <c r="C32">
        <v>65171026</v>
      </c>
      <c r="D32">
        <v>56588934</v>
      </c>
      <c r="E32">
        <v>1</v>
      </c>
      <c r="F32">
        <v>1</v>
      </c>
      <c r="G32">
        <v>1</v>
      </c>
      <c r="H32">
        <v>3</v>
      </c>
      <c r="I32" t="s">
        <v>564</v>
      </c>
      <c r="J32" t="s">
        <v>565</v>
      </c>
      <c r="K32" t="s">
        <v>566</v>
      </c>
      <c r="L32">
        <v>1348</v>
      </c>
      <c r="N32">
        <v>1009</v>
      </c>
      <c r="O32" t="s">
        <v>94</v>
      </c>
      <c r="P32" t="s">
        <v>94</v>
      </c>
      <c r="Q32">
        <v>1000</v>
      </c>
      <c r="W32">
        <v>0</v>
      </c>
      <c r="X32">
        <v>1416817269</v>
      </c>
      <c r="Y32">
        <f t="shared" si="11"/>
        <v>0</v>
      </c>
      <c r="AA32">
        <v>126334.57</v>
      </c>
      <c r="AB32">
        <v>0</v>
      </c>
      <c r="AC32">
        <v>0</v>
      </c>
      <c r="AD32">
        <v>0</v>
      </c>
      <c r="AE32">
        <v>105278.81</v>
      </c>
      <c r="AF32">
        <v>0</v>
      </c>
      <c r="AG32">
        <v>0</v>
      </c>
      <c r="AH32">
        <v>0</v>
      </c>
      <c r="AI32">
        <v>1.2</v>
      </c>
      <c r="AJ32">
        <v>1</v>
      </c>
      <c r="AK32">
        <v>1</v>
      </c>
      <c r="AL32">
        <v>1</v>
      </c>
      <c r="AM32">
        <v>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2.0000000000000001E-4</v>
      </c>
      <c r="AU32" t="s">
        <v>97</v>
      </c>
      <c r="AV32">
        <v>0</v>
      </c>
      <c r="AW32">
        <v>2</v>
      </c>
      <c r="AX32">
        <v>65171064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21.055762000000001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1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ROUND(Y32*Source!I64,7)</f>
        <v>0</v>
      </c>
      <c r="CY32">
        <f t="shared" si="12"/>
        <v>126334.57</v>
      </c>
      <c r="CZ32">
        <f t="shared" si="13"/>
        <v>105278.81</v>
      </c>
      <c r="DA32">
        <f t="shared" si="14"/>
        <v>1.2</v>
      </c>
      <c r="DB32">
        <f t="shared" si="15"/>
        <v>0</v>
      </c>
      <c r="DC32">
        <f t="shared" si="16"/>
        <v>0</v>
      </c>
      <c r="DD32" t="s">
        <v>3</v>
      </c>
      <c r="DE32" t="s">
        <v>3</v>
      </c>
      <c r="DF32">
        <f t="shared" ref="DF32:DF38" si="19">ROUND(ROUND(AE32*AI32,2)*CX32,2)</f>
        <v>0</v>
      </c>
      <c r="DG32">
        <f t="shared" si="10"/>
        <v>0</v>
      </c>
      <c r="DH32">
        <f t="shared" si="0"/>
        <v>0</v>
      </c>
      <c r="DI32">
        <f t="shared" si="5"/>
        <v>0</v>
      </c>
      <c r="DJ32">
        <f t="shared" si="18"/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ROW(Source!A64)</f>
        <v>64</v>
      </c>
      <c r="B33">
        <v>65170852</v>
      </c>
      <c r="C33">
        <v>65171026</v>
      </c>
      <c r="D33">
        <v>56592211</v>
      </c>
      <c r="E33">
        <v>1</v>
      </c>
      <c r="F33">
        <v>1</v>
      </c>
      <c r="G33">
        <v>1</v>
      </c>
      <c r="H33">
        <v>3</v>
      </c>
      <c r="I33" t="s">
        <v>567</v>
      </c>
      <c r="J33" t="s">
        <v>568</v>
      </c>
      <c r="K33" t="s">
        <v>569</v>
      </c>
      <c r="L33">
        <v>1302</v>
      </c>
      <c r="N33">
        <v>1003</v>
      </c>
      <c r="O33" t="s">
        <v>570</v>
      </c>
      <c r="P33" t="s">
        <v>570</v>
      </c>
      <c r="Q33">
        <v>10</v>
      </c>
      <c r="W33">
        <v>0</v>
      </c>
      <c r="X33">
        <v>-779675230</v>
      </c>
      <c r="Y33">
        <f t="shared" si="11"/>
        <v>0</v>
      </c>
      <c r="AA33">
        <v>301.68</v>
      </c>
      <c r="AB33">
        <v>0</v>
      </c>
      <c r="AC33">
        <v>0</v>
      </c>
      <c r="AD33">
        <v>0</v>
      </c>
      <c r="AE33">
        <v>307.83999999999997</v>
      </c>
      <c r="AF33">
        <v>0</v>
      </c>
      <c r="AG33">
        <v>0</v>
      </c>
      <c r="AH33">
        <v>0</v>
      </c>
      <c r="AI33">
        <v>0.98</v>
      </c>
      <c r="AJ33">
        <v>1</v>
      </c>
      <c r="AK33">
        <v>1</v>
      </c>
      <c r="AL33">
        <v>1</v>
      </c>
      <c r="AM33">
        <v>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1.8700000000000001E-2</v>
      </c>
      <c r="AU33" t="s">
        <v>97</v>
      </c>
      <c r="AV33">
        <v>0</v>
      </c>
      <c r="AW33">
        <v>2</v>
      </c>
      <c r="AX33">
        <v>65171065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5.7566079999999999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1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ROUND(Y33*Source!I64,7)</f>
        <v>0</v>
      </c>
      <c r="CY33">
        <f t="shared" si="12"/>
        <v>301.68</v>
      </c>
      <c r="CZ33">
        <f t="shared" si="13"/>
        <v>307.83999999999997</v>
      </c>
      <c r="DA33">
        <f t="shared" si="14"/>
        <v>0.98</v>
      </c>
      <c r="DB33">
        <f t="shared" si="15"/>
        <v>0</v>
      </c>
      <c r="DC33">
        <f t="shared" si="16"/>
        <v>0</v>
      </c>
      <c r="DD33" t="s">
        <v>3</v>
      </c>
      <c r="DE33" t="s">
        <v>3</v>
      </c>
      <c r="DF33">
        <f t="shared" si="19"/>
        <v>0</v>
      </c>
      <c r="DG33">
        <f t="shared" si="10"/>
        <v>0</v>
      </c>
      <c r="DH33">
        <f t="shared" si="0"/>
        <v>0</v>
      </c>
      <c r="DI33">
        <f t="shared" si="5"/>
        <v>0</v>
      </c>
      <c r="DJ33">
        <f t="shared" si="18"/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ROW(Source!A64)</f>
        <v>64</v>
      </c>
      <c r="B34">
        <v>65170852</v>
      </c>
      <c r="C34">
        <v>65171026</v>
      </c>
      <c r="D34">
        <v>56592477</v>
      </c>
      <c r="E34">
        <v>1</v>
      </c>
      <c r="F34">
        <v>1</v>
      </c>
      <c r="G34">
        <v>1</v>
      </c>
      <c r="H34">
        <v>3</v>
      </c>
      <c r="I34" t="s">
        <v>571</v>
      </c>
      <c r="J34" t="s">
        <v>572</v>
      </c>
      <c r="K34" t="s">
        <v>573</v>
      </c>
      <c r="L34">
        <v>1348</v>
      </c>
      <c r="N34">
        <v>1009</v>
      </c>
      <c r="O34" t="s">
        <v>94</v>
      </c>
      <c r="P34" t="s">
        <v>94</v>
      </c>
      <c r="Q34">
        <v>1000</v>
      </c>
      <c r="W34">
        <v>0</v>
      </c>
      <c r="X34">
        <v>1697833507</v>
      </c>
      <c r="Y34">
        <f t="shared" si="11"/>
        <v>0</v>
      </c>
      <c r="AA34">
        <v>63873.69</v>
      </c>
      <c r="AB34">
        <v>0</v>
      </c>
      <c r="AC34">
        <v>0</v>
      </c>
      <c r="AD34">
        <v>0</v>
      </c>
      <c r="AE34">
        <v>60258.2</v>
      </c>
      <c r="AF34">
        <v>0</v>
      </c>
      <c r="AG34">
        <v>0</v>
      </c>
      <c r="AH34">
        <v>0</v>
      </c>
      <c r="AI34">
        <v>1.06</v>
      </c>
      <c r="AJ34">
        <v>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3.0000000000000001E-5</v>
      </c>
      <c r="AU34" t="s">
        <v>97</v>
      </c>
      <c r="AV34">
        <v>0</v>
      </c>
      <c r="AW34">
        <v>2</v>
      </c>
      <c r="AX34">
        <v>65171066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1.8077459999999999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1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ROUND(Y34*Source!I64,7)</f>
        <v>0</v>
      </c>
      <c r="CY34">
        <f t="shared" si="12"/>
        <v>63873.69</v>
      </c>
      <c r="CZ34">
        <f t="shared" si="13"/>
        <v>60258.2</v>
      </c>
      <c r="DA34">
        <f t="shared" si="14"/>
        <v>1.06</v>
      </c>
      <c r="DB34">
        <f t="shared" si="15"/>
        <v>0</v>
      </c>
      <c r="DC34">
        <f t="shared" si="16"/>
        <v>0</v>
      </c>
      <c r="DD34" t="s">
        <v>3</v>
      </c>
      <c r="DE34" t="s">
        <v>3</v>
      </c>
      <c r="DF34">
        <f t="shared" si="19"/>
        <v>0</v>
      </c>
      <c r="DG34">
        <f t="shared" si="10"/>
        <v>0</v>
      </c>
      <c r="DH34">
        <f t="shared" si="0"/>
        <v>0</v>
      </c>
      <c r="DI34">
        <f t="shared" si="5"/>
        <v>0</v>
      </c>
      <c r="DJ34">
        <f t="shared" si="18"/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ROW(Source!A64)</f>
        <v>64</v>
      </c>
      <c r="B35">
        <v>65170852</v>
      </c>
      <c r="C35">
        <v>65171026</v>
      </c>
      <c r="D35">
        <v>56593339</v>
      </c>
      <c r="E35">
        <v>1</v>
      </c>
      <c r="F35">
        <v>1</v>
      </c>
      <c r="G35">
        <v>1</v>
      </c>
      <c r="H35">
        <v>3</v>
      </c>
      <c r="I35" t="s">
        <v>574</v>
      </c>
      <c r="J35" t="s">
        <v>575</v>
      </c>
      <c r="K35" t="s">
        <v>576</v>
      </c>
      <c r="L35">
        <v>1348</v>
      </c>
      <c r="N35">
        <v>1009</v>
      </c>
      <c r="O35" t="s">
        <v>94</v>
      </c>
      <c r="P35" t="s">
        <v>94</v>
      </c>
      <c r="Q35">
        <v>1000</v>
      </c>
      <c r="W35">
        <v>0</v>
      </c>
      <c r="X35">
        <v>817581059</v>
      </c>
      <c r="Y35">
        <f t="shared" si="11"/>
        <v>0</v>
      </c>
      <c r="AA35">
        <v>153171.20000000001</v>
      </c>
      <c r="AB35">
        <v>0</v>
      </c>
      <c r="AC35">
        <v>0</v>
      </c>
      <c r="AD35">
        <v>0</v>
      </c>
      <c r="AE35">
        <v>136760</v>
      </c>
      <c r="AF35">
        <v>0</v>
      </c>
      <c r="AG35">
        <v>0</v>
      </c>
      <c r="AH35">
        <v>0</v>
      </c>
      <c r="AI35">
        <v>1.1200000000000001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1.9400000000000001E-3</v>
      </c>
      <c r="AU35" t="s">
        <v>97</v>
      </c>
      <c r="AV35">
        <v>0</v>
      </c>
      <c r="AW35">
        <v>2</v>
      </c>
      <c r="AX35">
        <v>65171067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265.31440000000003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1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ROUND(Y35*Source!I64,7)</f>
        <v>0</v>
      </c>
      <c r="CY35">
        <f t="shared" si="12"/>
        <v>153171.20000000001</v>
      </c>
      <c r="CZ35">
        <f t="shared" si="13"/>
        <v>136760</v>
      </c>
      <c r="DA35">
        <f t="shared" si="14"/>
        <v>1.1200000000000001</v>
      </c>
      <c r="DB35">
        <f t="shared" si="15"/>
        <v>0</v>
      </c>
      <c r="DC35">
        <f t="shared" si="16"/>
        <v>0</v>
      </c>
      <c r="DD35" t="s">
        <v>3</v>
      </c>
      <c r="DE35" t="s">
        <v>3</v>
      </c>
      <c r="DF35">
        <f t="shared" si="19"/>
        <v>0</v>
      </c>
      <c r="DG35">
        <f t="shared" si="10"/>
        <v>0</v>
      </c>
      <c r="DH35">
        <f t="shared" si="0"/>
        <v>0</v>
      </c>
      <c r="DI35">
        <f t="shared" si="5"/>
        <v>0</v>
      </c>
      <c r="DJ35">
        <f t="shared" si="18"/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ROW(Source!A64)</f>
        <v>64</v>
      </c>
      <c r="B36">
        <v>65170852</v>
      </c>
      <c r="C36">
        <v>65171026</v>
      </c>
      <c r="D36">
        <v>56595823</v>
      </c>
      <c r="E36">
        <v>1</v>
      </c>
      <c r="F36">
        <v>1</v>
      </c>
      <c r="G36">
        <v>1</v>
      </c>
      <c r="H36">
        <v>3</v>
      </c>
      <c r="I36" t="s">
        <v>577</v>
      </c>
      <c r="J36" t="s">
        <v>578</v>
      </c>
      <c r="K36" t="s">
        <v>579</v>
      </c>
      <c r="L36">
        <v>1339</v>
      </c>
      <c r="N36">
        <v>1007</v>
      </c>
      <c r="O36" t="s">
        <v>129</v>
      </c>
      <c r="P36" t="s">
        <v>129</v>
      </c>
      <c r="Q36">
        <v>1</v>
      </c>
      <c r="W36">
        <v>0</v>
      </c>
      <c r="X36">
        <v>173799858</v>
      </c>
      <c r="Y36">
        <f t="shared" si="11"/>
        <v>0</v>
      </c>
      <c r="AA36">
        <v>12866.9</v>
      </c>
      <c r="AB36">
        <v>0</v>
      </c>
      <c r="AC36">
        <v>0</v>
      </c>
      <c r="AD36">
        <v>0</v>
      </c>
      <c r="AE36">
        <v>16496.03</v>
      </c>
      <c r="AF36">
        <v>0</v>
      </c>
      <c r="AG36">
        <v>0</v>
      </c>
      <c r="AH36">
        <v>0</v>
      </c>
      <c r="AI36">
        <v>0.78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1.0300000000000001E-3</v>
      </c>
      <c r="AU36" t="s">
        <v>97</v>
      </c>
      <c r="AV36">
        <v>0</v>
      </c>
      <c r="AW36">
        <v>2</v>
      </c>
      <c r="AX36">
        <v>65171068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16.990910899999999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ROUND(Y36*Source!I64,7)</f>
        <v>0</v>
      </c>
      <c r="CY36">
        <f t="shared" si="12"/>
        <v>12866.9</v>
      </c>
      <c r="CZ36">
        <f t="shared" si="13"/>
        <v>16496.03</v>
      </c>
      <c r="DA36">
        <f t="shared" si="14"/>
        <v>0.78</v>
      </c>
      <c r="DB36">
        <f t="shared" si="15"/>
        <v>0</v>
      </c>
      <c r="DC36">
        <f t="shared" si="16"/>
        <v>0</v>
      </c>
      <c r="DD36" t="s">
        <v>3</v>
      </c>
      <c r="DE36" t="s">
        <v>3</v>
      </c>
      <c r="DF36">
        <f t="shared" si="19"/>
        <v>0</v>
      </c>
      <c r="DG36">
        <f t="shared" si="10"/>
        <v>0</v>
      </c>
      <c r="DH36">
        <f t="shared" si="0"/>
        <v>0</v>
      </c>
      <c r="DI36">
        <f t="shared" si="5"/>
        <v>0</v>
      </c>
      <c r="DJ36">
        <f t="shared" si="18"/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ROW(Source!A64)</f>
        <v>64</v>
      </c>
      <c r="B37">
        <v>65170852</v>
      </c>
      <c r="C37">
        <v>65171026</v>
      </c>
      <c r="D37">
        <v>56609935</v>
      </c>
      <c r="E37">
        <v>1</v>
      </c>
      <c r="F37">
        <v>1</v>
      </c>
      <c r="G37">
        <v>1</v>
      </c>
      <c r="H37">
        <v>3</v>
      </c>
      <c r="I37" t="s">
        <v>580</v>
      </c>
      <c r="J37" t="s">
        <v>581</v>
      </c>
      <c r="K37" t="s">
        <v>582</v>
      </c>
      <c r="L37">
        <v>1348</v>
      </c>
      <c r="N37">
        <v>1009</v>
      </c>
      <c r="O37" t="s">
        <v>94</v>
      </c>
      <c r="P37" t="s">
        <v>94</v>
      </c>
      <c r="Q37">
        <v>1000</v>
      </c>
      <c r="W37">
        <v>0</v>
      </c>
      <c r="X37">
        <v>-269680440</v>
      </c>
      <c r="Y37">
        <f t="shared" si="11"/>
        <v>0</v>
      </c>
      <c r="AA37">
        <v>75894.62</v>
      </c>
      <c r="AB37">
        <v>0</v>
      </c>
      <c r="AC37">
        <v>0</v>
      </c>
      <c r="AD37">
        <v>0</v>
      </c>
      <c r="AE37">
        <v>51280.15</v>
      </c>
      <c r="AF37">
        <v>0</v>
      </c>
      <c r="AG37">
        <v>0</v>
      </c>
      <c r="AH37">
        <v>0</v>
      </c>
      <c r="AI37">
        <v>1.48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3.1E-4</v>
      </c>
      <c r="AU37" t="s">
        <v>97</v>
      </c>
      <c r="AV37">
        <v>0</v>
      </c>
      <c r="AW37">
        <v>2</v>
      </c>
      <c r="AX37">
        <v>65171069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15.896846500000001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ROUND(Y37*Source!I64,7)</f>
        <v>0</v>
      </c>
      <c r="CY37">
        <f t="shared" si="12"/>
        <v>75894.62</v>
      </c>
      <c r="CZ37">
        <f t="shared" si="13"/>
        <v>51280.15</v>
      </c>
      <c r="DA37">
        <f t="shared" si="14"/>
        <v>1.48</v>
      </c>
      <c r="DB37">
        <f t="shared" si="15"/>
        <v>0</v>
      </c>
      <c r="DC37">
        <f t="shared" si="16"/>
        <v>0</v>
      </c>
      <c r="DD37" t="s">
        <v>3</v>
      </c>
      <c r="DE37" t="s">
        <v>3</v>
      </c>
      <c r="DF37">
        <f t="shared" si="19"/>
        <v>0</v>
      </c>
      <c r="DG37">
        <f t="shared" si="10"/>
        <v>0</v>
      </c>
      <c r="DH37">
        <f t="shared" si="0"/>
        <v>0</v>
      </c>
      <c r="DI37">
        <f t="shared" si="5"/>
        <v>0</v>
      </c>
      <c r="DJ37">
        <f t="shared" si="18"/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ROW(Source!A64)</f>
        <v>64</v>
      </c>
      <c r="B38">
        <v>65170852</v>
      </c>
      <c r="C38">
        <v>65171026</v>
      </c>
      <c r="D38">
        <v>56610694</v>
      </c>
      <c r="E38">
        <v>1</v>
      </c>
      <c r="F38">
        <v>1</v>
      </c>
      <c r="G38">
        <v>1</v>
      </c>
      <c r="H38">
        <v>3</v>
      </c>
      <c r="I38" t="s">
        <v>583</v>
      </c>
      <c r="J38" t="s">
        <v>584</v>
      </c>
      <c r="K38" t="s">
        <v>585</v>
      </c>
      <c r="L38">
        <v>1348</v>
      </c>
      <c r="N38">
        <v>1009</v>
      </c>
      <c r="O38" t="s">
        <v>94</v>
      </c>
      <c r="P38" t="s">
        <v>94</v>
      </c>
      <c r="Q38">
        <v>1000</v>
      </c>
      <c r="W38">
        <v>0</v>
      </c>
      <c r="X38">
        <v>1817492508</v>
      </c>
      <c r="Y38">
        <f t="shared" si="11"/>
        <v>0</v>
      </c>
      <c r="AA38">
        <v>125128.59</v>
      </c>
      <c r="AB38">
        <v>0</v>
      </c>
      <c r="AC38">
        <v>0</v>
      </c>
      <c r="AD38">
        <v>0</v>
      </c>
      <c r="AE38">
        <v>98526.45</v>
      </c>
      <c r="AF38">
        <v>0</v>
      </c>
      <c r="AG38">
        <v>0</v>
      </c>
      <c r="AH38">
        <v>0</v>
      </c>
      <c r="AI38">
        <v>1.27</v>
      </c>
      <c r="AJ38">
        <v>1</v>
      </c>
      <c r="AK38">
        <v>1</v>
      </c>
      <c r="AL38">
        <v>1</v>
      </c>
      <c r="AM38">
        <v>2</v>
      </c>
      <c r="AN38">
        <v>0</v>
      </c>
      <c r="AO38">
        <v>0</v>
      </c>
      <c r="AP38">
        <v>1</v>
      </c>
      <c r="AQ38">
        <v>1</v>
      </c>
      <c r="AR38">
        <v>0</v>
      </c>
      <c r="AS38" t="s">
        <v>3</v>
      </c>
      <c r="AT38">
        <v>5.9999999999999995E-4</v>
      </c>
      <c r="AU38" t="s">
        <v>97</v>
      </c>
      <c r="AV38">
        <v>0</v>
      </c>
      <c r="AW38">
        <v>2</v>
      </c>
      <c r="AX38">
        <v>65171070</v>
      </c>
      <c r="AY38">
        <v>1</v>
      </c>
      <c r="AZ38">
        <v>0</v>
      </c>
      <c r="BA38">
        <v>38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59.115869999999994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1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ROUND(Y38*Source!I64,7)</f>
        <v>0</v>
      </c>
      <c r="CY38">
        <f t="shared" si="12"/>
        <v>125128.59</v>
      </c>
      <c r="CZ38">
        <f t="shared" si="13"/>
        <v>98526.45</v>
      </c>
      <c r="DA38">
        <f t="shared" si="14"/>
        <v>1.27</v>
      </c>
      <c r="DB38">
        <f t="shared" si="15"/>
        <v>0</v>
      </c>
      <c r="DC38">
        <f t="shared" si="16"/>
        <v>0</v>
      </c>
      <c r="DD38" t="s">
        <v>3</v>
      </c>
      <c r="DE38" t="s">
        <v>3</v>
      </c>
      <c r="DF38">
        <f t="shared" si="19"/>
        <v>0</v>
      </c>
      <c r="DG38">
        <f t="shared" si="10"/>
        <v>0</v>
      </c>
      <c r="DH38">
        <f t="shared" si="0"/>
        <v>0</v>
      </c>
      <c r="DI38">
        <f t="shared" si="5"/>
        <v>0</v>
      </c>
      <c r="DJ38">
        <f t="shared" si="18"/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ROW(Source!A65)</f>
        <v>65</v>
      </c>
      <c r="B39">
        <v>65170852</v>
      </c>
      <c r="C39">
        <v>65171071</v>
      </c>
      <c r="D39">
        <v>37064998</v>
      </c>
      <c r="E39">
        <v>108</v>
      </c>
      <c r="F39">
        <v>1</v>
      </c>
      <c r="G39">
        <v>1</v>
      </c>
      <c r="H39">
        <v>1</v>
      </c>
      <c r="I39" t="s">
        <v>586</v>
      </c>
      <c r="J39" t="s">
        <v>3</v>
      </c>
      <c r="K39" t="s">
        <v>587</v>
      </c>
      <c r="L39">
        <v>1191</v>
      </c>
      <c r="N39">
        <v>1013</v>
      </c>
      <c r="O39" t="s">
        <v>509</v>
      </c>
      <c r="P39" t="s">
        <v>509</v>
      </c>
      <c r="Q39">
        <v>1</v>
      </c>
      <c r="W39">
        <v>0</v>
      </c>
      <c r="X39">
        <v>2031828327</v>
      </c>
      <c r="Y39">
        <f>AT39</f>
        <v>10.199999999999999</v>
      </c>
      <c r="AA39">
        <v>0</v>
      </c>
      <c r="AB39">
        <v>0</v>
      </c>
      <c r="AC39">
        <v>0</v>
      </c>
      <c r="AD39">
        <v>399.03</v>
      </c>
      <c r="AE39">
        <v>0</v>
      </c>
      <c r="AF39">
        <v>0</v>
      </c>
      <c r="AG39">
        <v>0</v>
      </c>
      <c r="AH39">
        <v>399.03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3</v>
      </c>
      <c r="AT39">
        <v>10.199999999999999</v>
      </c>
      <c r="AU39" t="s">
        <v>3</v>
      </c>
      <c r="AV39">
        <v>1</v>
      </c>
      <c r="AW39">
        <v>2</v>
      </c>
      <c r="AX39">
        <v>65171073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4070.1059999999993</v>
      </c>
      <c r="BN39">
        <v>10.199999999999999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4070.1059999999993</v>
      </c>
      <c r="BU39">
        <v>10.199999999999999</v>
      </c>
      <c r="BV39">
        <v>0</v>
      </c>
      <c r="BW39">
        <v>1</v>
      </c>
      <c r="CU39">
        <f>ROUND(AT39*Source!I65*AH39*AL39,2)</f>
        <v>1628.04</v>
      </c>
      <c r="CV39">
        <f>ROUND(Y39*Source!I65,7)</f>
        <v>4.08</v>
      </c>
      <c r="CW39">
        <v>0</v>
      </c>
      <c r="CX39">
        <f>ROUND(Y39*Source!I65,7)</f>
        <v>4.08</v>
      </c>
      <c r="CY39">
        <f>AD39</f>
        <v>399.03</v>
      </c>
      <c r="CZ39">
        <f>AH39</f>
        <v>399.03</v>
      </c>
      <c r="DA39">
        <f>AL39</f>
        <v>1</v>
      </c>
      <c r="DB39">
        <f>ROUND(ROUND(AT39*CZ39,2),6)</f>
        <v>4070.11</v>
      </c>
      <c r="DC39">
        <f>ROUND(ROUND(AT39*AG39,2),6)</f>
        <v>0</v>
      </c>
      <c r="DD39" t="s">
        <v>3</v>
      </c>
      <c r="DE39" t="s">
        <v>3</v>
      </c>
      <c r="DF39">
        <f t="shared" ref="DF39:DF44" si="20">ROUND(ROUND(AE39,2)*CX39,2)</f>
        <v>0</v>
      </c>
      <c r="DG39">
        <f t="shared" si="10"/>
        <v>0</v>
      </c>
      <c r="DH39">
        <f t="shared" si="0"/>
        <v>0</v>
      </c>
      <c r="DI39">
        <f t="shared" si="5"/>
        <v>1628.04</v>
      </c>
      <c r="DJ39">
        <f>DI39</f>
        <v>1628.04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ROW(Source!A66)</f>
        <v>66</v>
      </c>
      <c r="B40">
        <v>65170852</v>
      </c>
      <c r="C40">
        <v>65171074</v>
      </c>
      <c r="D40">
        <v>37064998</v>
      </c>
      <c r="E40">
        <v>108</v>
      </c>
      <c r="F40">
        <v>1</v>
      </c>
      <c r="G40">
        <v>1</v>
      </c>
      <c r="H40">
        <v>1</v>
      </c>
      <c r="I40" t="s">
        <v>586</v>
      </c>
      <c r="J40" t="s">
        <v>3</v>
      </c>
      <c r="K40" t="s">
        <v>587</v>
      </c>
      <c r="L40">
        <v>1191</v>
      </c>
      <c r="N40">
        <v>1013</v>
      </c>
      <c r="O40" t="s">
        <v>509</v>
      </c>
      <c r="P40" t="s">
        <v>509</v>
      </c>
      <c r="Q40">
        <v>1</v>
      </c>
      <c r="W40">
        <v>0</v>
      </c>
      <c r="X40">
        <v>2031828327</v>
      </c>
      <c r="Y40">
        <f>(AT40*ROUND(1.15,7))</f>
        <v>177.1</v>
      </c>
      <c r="AA40">
        <v>0</v>
      </c>
      <c r="AB40">
        <v>0</v>
      </c>
      <c r="AC40">
        <v>0</v>
      </c>
      <c r="AD40">
        <v>399.03</v>
      </c>
      <c r="AE40">
        <v>0</v>
      </c>
      <c r="AF40">
        <v>0</v>
      </c>
      <c r="AG40">
        <v>0</v>
      </c>
      <c r="AH40">
        <v>399.03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3</v>
      </c>
      <c r="AT40">
        <v>154</v>
      </c>
      <c r="AU40" t="s">
        <v>119</v>
      </c>
      <c r="AV40">
        <v>1</v>
      </c>
      <c r="AW40">
        <v>2</v>
      </c>
      <c r="AX40">
        <v>65171076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61450.619999999995</v>
      </c>
      <c r="BN40">
        <v>154</v>
      </c>
      <c r="BO40">
        <v>0</v>
      </c>
      <c r="BP40">
        <v>1</v>
      </c>
      <c r="BQ40">
        <v>0</v>
      </c>
      <c r="BR40">
        <v>0</v>
      </c>
      <c r="BS40">
        <v>0</v>
      </c>
      <c r="BT40">
        <v>70668.212999999989</v>
      </c>
      <c r="BU40">
        <v>177.1</v>
      </c>
      <c r="BV40">
        <v>0</v>
      </c>
      <c r="BW40">
        <v>1</v>
      </c>
      <c r="CU40">
        <f>ROUND(AT40*Source!I66*AH40*AL40,2)</f>
        <v>2458.02</v>
      </c>
      <c r="CV40">
        <f>ROUND(Y40*Source!I66,7)</f>
        <v>7.0839999999999996</v>
      </c>
      <c r="CW40">
        <v>0</v>
      </c>
      <c r="CX40">
        <f>ROUND(Y40*Source!I66,7)</f>
        <v>7.0839999999999996</v>
      </c>
      <c r="CY40">
        <f>AD40</f>
        <v>399.03</v>
      </c>
      <c r="CZ40">
        <f>AH40</f>
        <v>399.03</v>
      </c>
      <c r="DA40">
        <f>AL40</f>
        <v>1</v>
      </c>
      <c r="DB40">
        <f>ROUND((ROUND(AT40*CZ40,2)*ROUND(1.15,7)),6)</f>
        <v>70668.213000000003</v>
      </c>
      <c r="DC40">
        <f>ROUND((ROUND(AT40*AG40,2)*ROUND(1.15,7)),6)</f>
        <v>0</v>
      </c>
      <c r="DD40" t="s">
        <v>3</v>
      </c>
      <c r="DE40" t="s">
        <v>3</v>
      </c>
      <c r="DF40">
        <f t="shared" si="20"/>
        <v>0</v>
      </c>
      <c r="DG40">
        <f t="shared" si="10"/>
        <v>0</v>
      </c>
      <c r="DH40">
        <f t="shared" si="0"/>
        <v>0</v>
      </c>
      <c r="DI40">
        <f t="shared" si="5"/>
        <v>2826.73</v>
      </c>
      <c r="DJ40">
        <f>DI40</f>
        <v>2826.73</v>
      </c>
      <c r="DK40">
        <v>1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ROW(Source!A67)</f>
        <v>67</v>
      </c>
      <c r="B41">
        <v>65170852</v>
      </c>
      <c r="C41">
        <v>65171077</v>
      </c>
      <c r="D41">
        <v>37068121</v>
      </c>
      <c r="E41">
        <v>108</v>
      </c>
      <c r="F41">
        <v>1</v>
      </c>
      <c r="G41">
        <v>1</v>
      </c>
      <c r="H41">
        <v>1</v>
      </c>
      <c r="I41" t="s">
        <v>588</v>
      </c>
      <c r="J41" t="s">
        <v>3</v>
      </c>
      <c r="K41" t="s">
        <v>589</v>
      </c>
      <c r="L41">
        <v>1191</v>
      </c>
      <c r="N41">
        <v>1013</v>
      </c>
      <c r="O41" t="s">
        <v>509</v>
      </c>
      <c r="P41" t="s">
        <v>509</v>
      </c>
      <c r="Q41">
        <v>1</v>
      </c>
      <c r="W41">
        <v>0</v>
      </c>
      <c r="X41">
        <v>-366857280</v>
      </c>
      <c r="Y41">
        <f t="shared" ref="Y41:Y72" si="21">AT41</f>
        <v>0.78</v>
      </c>
      <c r="AA41">
        <v>0</v>
      </c>
      <c r="AB41">
        <v>0</v>
      </c>
      <c r="AC41">
        <v>0</v>
      </c>
      <c r="AD41">
        <v>406.35</v>
      </c>
      <c r="AE41">
        <v>0</v>
      </c>
      <c r="AF41">
        <v>0</v>
      </c>
      <c r="AG41">
        <v>0</v>
      </c>
      <c r="AH41">
        <v>406.35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1</v>
      </c>
      <c r="AQ41">
        <v>1</v>
      </c>
      <c r="AR41">
        <v>0</v>
      </c>
      <c r="AS41" t="s">
        <v>3</v>
      </c>
      <c r="AT41">
        <v>0.78</v>
      </c>
      <c r="AU41" t="s">
        <v>3</v>
      </c>
      <c r="AV41">
        <v>1</v>
      </c>
      <c r="AW41">
        <v>2</v>
      </c>
      <c r="AX41">
        <v>65171085</v>
      </c>
      <c r="AY41">
        <v>1</v>
      </c>
      <c r="AZ41">
        <v>0</v>
      </c>
      <c r="BA41">
        <v>41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316.95300000000003</v>
      </c>
      <c r="BN41">
        <v>0.78</v>
      </c>
      <c r="BO41">
        <v>0</v>
      </c>
      <c r="BP41">
        <v>1</v>
      </c>
      <c r="BQ41">
        <v>0</v>
      </c>
      <c r="BR41">
        <v>0</v>
      </c>
      <c r="BS41">
        <v>0</v>
      </c>
      <c r="BT41">
        <v>316.95300000000003</v>
      </c>
      <c r="BU41">
        <v>0.78</v>
      </c>
      <c r="BV41">
        <v>0</v>
      </c>
      <c r="BW41">
        <v>1</v>
      </c>
      <c r="CU41">
        <f>ROUND(AT41*Source!I67*AH41*AL41,2)</f>
        <v>475.43</v>
      </c>
      <c r="CV41">
        <f>ROUND(Y41*Source!I67,7)</f>
        <v>1.17</v>
      </c>
      <c r="CW41">
        <v>0</v>
      </c>
      <c r="CX41">
        <f>ROUND(Y41*Source!I67,7)</f>
        <v>1.17</v>
      </c>
      <c r="CY41">
        <f>AD41</f>
        <v>406.35</v>
      </c>
      <c r="CZ41">
        <f>AH41</f>
        <v>406.35</v>
      </c>
      <c r="DA41">
        <f>AL41</f>
        <v>1</v>
      </c>
      <c r="DB41">
        <f t="shared" ref="DB41:DB72" si="22">ROUND(ROUND(AT41*CZ41,2),6)</f>
        <v>316.95</v>
      </c>
      <c r="DC41">
        <f t="shared" ref="DC41:DC72" si="23">ROUND(ROUND(AT41*AG41,2),6)</f>
        <v>0</v>
      </c>
      <c r="DD41" t="s">
        <v>3</v>
      </c>
      <c r="DE41" t="s">
        <v>3</v>
      </c>
      <c r="DF41">
        <f t="shared" si="20"/>
        <v>0</v>
      </c>
      <c r="DG41">
        <f t="shared" si="10"/>
        <v>0</v>
      </c>
      <c r="DH41">
        <f t="shared" si="0"/>
        <v>0</v>
      </c>
      <c r="DI41">
        <f t="shared" si="5"/>
        <v>475.43</v>
      </c>
      <c r="DJ41">
        <f>DI41</f>
        <v>475.43</v>
      </c>
      <c r="DK41">
        <v>1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ROW(Source!A67)</f>
        <v>67</v>
      </c>
      <c r="B42">
        <v>65170852</v>
      </c>
      <c r="C42">
        <v>65171077</v>
      </c>
      <c r="D42">
        <v>37064876</v>
      </c>
      <c r="E42">
        <v>108</v>
      </c>
      <c r="F42">
        <v>1</v>
      </c>
      <c r="G42">
        <v>1</v>
      </c>
      <c r="H42">
        <v>1</v>
      </c>
      <c r="I42" t="s">
        <v>510</v>
      </c>
      <c r="J42" t="s">
        <v>3</v>
      </c>
      <c r="K42" t="s">
        <v>511</v>
      </c>
      <c r="L42">
        <v>1191</v>
      </c>
      <c r="N42">
        <v>1013</v>
      </c>
      <c r="O42" t="s">
        <v>509</v>
      </c>
      <c r="P42" t="s">
        <v>509</v>
      </c>
      <c r="Q42">
        <v>1</v>
      </c>
      <c r="W42">
        <v>0</v>
      </c>
      <c r="X42">
        <v>-1417349443</v>
      </c>
      <c r="Y42">
        <f t="shared" si="21"/>
        <v>7.0000000000000007E-2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3</v>
      </c>
      <c r="AT42">
        <v>7.0000000000000007E-2</v>
      </c>
      <c r="AU42" t="s">
        <v>3</v>
      </c>
      <c r="AV42">
        <v>2</v>
      </c>
      <c r="AW42">
        <v>2</v>
      </c>
      <c r="AX42">
        <v>65171086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ROUND(Y42*Source!I67,7)</f>
        <v>0.105</v>
      </c>
      <c r="CY42">
        <f>AD42</f>
        <v>0</v>
      </c>
      <c r="CZ42">
        <f>AH42</f>
        <v>0</v>
      </c>
      <c r="DA42">
        <f>AL42</f>
        <v>1</v>
      </c>
      <c r="DB42">
        <f t="shared" si="22"/>
        <v>0</v>
      </c>
      <c r="DC42">
        <f t="shared" si="23"/>
        <v>0</v>
      </c>
      <c r="DD42" t="s">
        <v>3</v>
      </c>
      <c r="DE42" t="s">
        <v>3</v>
      </c>
      <c r="DF42">
        <f t="shared" si="20"/>
        <v>0</v>
      </c>
      <c r="DG42">
        <f t="shared" si="10"/>
        <v>0</v>
      </c>
      <c r="DH42">
        <f t="shared" si="0"/>
        <v>0</v>
      </c>
      <c r="DI42">
        <f t="shared" si="5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ROW(Source!A67)</f>
        <v>67</v>
      </c>
      <c r="B43">
        <v>65170852</v>
      </c>
      <c r="C43">
        <v>65171077</v>
      </c>
      <c r="D43">
        <v>56571691</v>
      </c>
      <c r="E43">
        <v>1</v>
      </c>
      <c r="F43">
        <v>1</v>
      </c>
      <c r="G43">
        <v>1</v>
      </c>
      <c r="H43">
        <v>2</v>
      </c>
      <c r="I43" t="s">
        <v>590</v>
      </c>
      <c r="J43" t="s">
        <v>591</v>
      </c>
      <c r="K43" t="s">
        <v>592</v>
      </c>
      <c r="L43">
        <v>1368</v>
      </c>
      <c r="N43">
        <v>1011</v>
      </c>
      <c r="O43" t="s">
        <v>515</v>
      </c>
      <c r="P43" t="s">
        <v>515</v>
      </c>
      <c r="Q43">
        <v>1</v>
      </c>
      <c r="W43">
        <v>0</v>
      </c>
      <c r="X43">
        <v>1775487060</v>
      </c>
      <c r="Y43">
        <f t="shared" si="21"/>
        <v>7.0000000000000007E-2</v>
      </c>
      <c r="AA43">
        <v>0</v>
      </c>
      <c r="AB43">
        <v>1246.67</v>
      </c>
      <c r="AC43">
        <v>563.76</v>
      </c>
      <c r="AD43">
        <v>0</v>
      </c>
      <c r="AE43">
        <v>0</v>
      </c>
      <c r="AF43">
        <v>1246.67</v>
      </c>
      <c r="AG43">
        <v>563.76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3</v>
      </c>
      <c r="AT43">
        <v>7.0000000000000007E-2</v>
      </c>
      <c r="AU43" t="s">
        <v>3</v>
      </c>
      <c r="AV43">
        <v>1</v>
      </c>
      <c r="AW43">
        <v>2</v>
      </c>
      <c r="AX43">
        <v>65171087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87.266900000000007</v>
      </c>
      <c r="BL43">
        <v>39.463200000000001</v>
      </c>
      <c r="BM43">
        <v>0</v>
      </c>
      <c r="BN43">
        <v>0</v>
      </c>
      <c r="BO43">
        <v>7.0000000000000007E-2</v>
      </c>
      <c r="BP43">
        <v>1</v>
      </c>
      <c r="BQ43">
        <v>0</v>
      </c>
      <c r="BR43">
        <v>87.266900000000007</v>
      </c>
      <c r="BS43">
        <v>39.463200000000001</v>
      </c>
      <c r="BT43">
        <v>0</v>
      </c>
      <c r="BU43">
        <v>0</v>
      </c>
      <c r="BV43">
        <v>7.0000000000000007E-2</v>
      </c>
      <c r="BW43">
        <v>1</v>
      </c>
      <c r="CV43">
        <v>0</v>
      </c>
      <c r="CW43">
        <f>ROUND(Y43*Source!I67*DO43,7)</f>
        <v>0.105</v>
      </c>
      <c r="CX43">
        <f>ROUND(Y43*Source!I67,7)</f>
        <v>0.105</v>
      </c>
      <c r="CY43">
        <f>AB43</f>
        <v>1246.67</v>
      </c>
      <c r="CZ43">
        <f>AF43</f>
        <v>1246.67</v>
      </c>
      <c r="DA43">
        <f>AJ43</f>
        <v>1</v>
      </c>
      <c r="DB43">
        <f t="shared" si="22"/>
        <v>87.27</v>
      </c>
      <c r="DC43">
        <f t="shared" si="23"/>
        <v>39.46</v>
      </c>
      <c r="DD43" t="s">
        <v>3</v>
      </c>
      <c r="DE43" t="s">
        <v>3</v>
      </c>
      <c r="DF43">
        <f t="shared" si="20"/>
        <v>0</v>
      </c>
      <c r="DG43">
        <f t="shared" si="10"/>
        <v>130.9</v>
      </c>
      <c r="DH43">
        <f t="shared" si="0"/>
        <v>59.19</v>
      </c>
      <c r="DI43">
        <f t="shared" si="5"/>
        <v>0</v>
      </c>
      <c r="DJ43">
        <f>DG43+DH43</f>
        <v>190.09</v>
      </c>
      <c r="DK43">
        <v>1</v>
      </c>
      <c r="DL43" t="s">
        <v>593</v>
      </c>
      <c r="DM43">
        <v>5</v>
      </c>
      <c r="DN43" t="s">
        <v>509</v>
      </c>
      <c r="DO43">
        <v>1</v>
      </c>
    </row>
    <row r="44" spans="1:119" x14ac:dyDescent="0.2">
      <c r="A44">
        <f>ROW(Source!A67)</f>
        <v>67</v>
      </c>
      <c r="B44">
        <v>65170852</v>
      </c>
      <c r="C44">
        <v>65171077</v>
      </c>
      <c r="D44">
        <v>56572130</v>
      </c>
      <c r="E44">
        <v>1</v>
      </c>
      <c r="F44">
        <v>1</v>
      </c>
      <c r="G44">
        <v>1</v>
      </c>
      <c r="H44">
        <v>2</v>
      </c>
      <c r="I44" t="s">
        <v>594</v>
      </c>
      <c r="J44" t="s">
        <v>595</v>
      </c>
      <c r="K44" t="s">
        <v>596</v>
      </c>
      <c r="L44">
        <v>1368</v>
      </c>
      <c r="N44">
        <v>1011</v>
      </c>
      <c r="O44" t="s">
        <v>515</v>
      </c>
      <c r="P44" t="s">
        <v>515</v>
      </c>
      <c r="Q44">
        <v>1</v>
      </c>
      <c r="W44">
        <v>0</v>
      </c>
      <c r="X44">
        <v>-905031666</v>
      </c>
      <c r="Y44">
        <f t="shared" si="21"/>
        <v>0.36</v>
      </c>
      <c r="AA44">
        <v>0</v>
      </c>
      <c r="AB44">
        <v>17.21</v>
      </c>
      <c r="AC44">
        <v>0</v>
      </c>
      <c r="AD44">
        <v>0</v>
      </c>
      <c r="AE44">
        <v>0</v>
      </c>
      <c r="AF44">
        <v>17.21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3</v>
      </c>
      <c r="AT44">
        <v>0.36</v>
      </c>
      <c r="AU44" t="s">
        <v>3</v>
      </c>
      <c r="AV44">
        <v>1</v>
      </c>
      <c r="AW44">
        <v>2</v>
      </c>
      <c r="AX44">
        <v>65171088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6.1955999999999998</v>
      </c>
      <c r="BL44">
        <v>0</v>
      </c>
      <c r="BM44">
        <v>0</v>
      </c>
      <c r="BN44">
        <v>0</v>
      </c>
      <c r="BO44">
        <v>0</v>
      </c>
      <c r="BP44">
        <v>1</v>
      </c>
      <c r="BQ44">
        <v>0</v>
      </c>
      <c r="BR44">
        <v>6.1955999999999998</v>
      </c>
      <c r="BS44">
        <v>0</v>
      </c>
      <c r="BT44">
        <v>0</v>
      </c>
      <c r="BU44">
        <v>0</v>
      </c>
      <c r="BV44">
        <v>0</v>
      </c>
      <c r="BW44">
        <v>1</v>
      </c>
      <c r="CV44">
        <v>0</v>
      </c>
      <c r="CW44">
        <f>ROUND(Y44*Source!I67*DO44,7)</f>
        <v>0</v>
      </c>
      <c r="CX44">
        <f>ROUND(Y44*Source!I67,7)</f>
        <v>0.54</v>
      </c>
      <c r="CY44">
        <f>AB44</f>
        <v>17.21</v>
      </c>
      <c r="CZ44">
        <f>AF44</f>
        <v>17.21</v>
      </c>
      <c r="DA44">
        <f>AJ44</f>
        <v>1</v>
      </c>
      <c r="DB44">
        <f t="shared" si="22"/>
        <v>6.2</v>
      </c>
      <c r="DC44">
        <f t="shared" si="23"/>
        <v>0</v>
      </c>
      <c r="DD44" t="s">
        <v>3</v>
      </c>
      <c r="DE44" t="s">
        <v>3</v>
      </c>
      <c r="DF44">
        <f t="shared" si="20"/>
        <v>0</v>
      </c>
      <c r="DG44">
        <f t="shared" si="10"/>
        <v>9.2899999999999991</v>
      </c>
      <c r="DH44">
        <f t="shared" si="0"/>
        <v>0</v>
      </c>
      <c r="DI44">
        <f t="shared" si="5"/>
        <v>0</v>
      </c>
      <c r="DJ44">
        <f>DG44+DH44</f>
        <v>9.2899999999999991</v>
      </c>
      <c r="DK44">
        <v>1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ROW(Source!A67)</f>
        <v>67</v>
      </c>
      <c r="B45">
        <v>65170852</v>
      </c>
      <c r="C45">
        <v>65171077</v>
      </c>
      <c r="D45">
        <v>56577954</v>
      </c>
      <c r="E45">
        <v>1</v>
      </c>
      <c r="F45">
        <v>1</v>
      </c>
      <c r="G45">
        <v>1</v>
      </c>
      <c r="H45">
        <v>3</v>
      </c>
      <c r="I45" t="s">
        <v>597</v>
      </c>
      <c r="J45" t="s">
        <v>598</v>
      </c>
      <c r="K45" t="s">
        <v>599</v>
      </c>
      <c r="L45">
        <v>1339</v>
      </c>
      <c r="N45">
        <v>1007</v>
      </c>
      <c r="O45" t="s">
        <v>129</v>
      </c>
      <c r="P45" t="s">
        <v>129</v>
      </c>
      <c r="Q45">
        <v>1</v>
      </c>
      <c r="W45">
        <v>0</v>
      </c>
      <c r="X45">
        <v>545434569</v>
      </c>
      <c r="Y45">
        <f t="shared" si="21"/>
        <v>0.15</v>
      </c>
      <c r="AA45">
        <v>49.99</v>
      </c>
      <c r="AB45">
        <v>0</v>
      </c>
      <c r="AC45">
        <v>0</v>
      </c>
      <c r="AD45">
        <v>0</v>
      </c>
      <c r="AE45">
        <v>35.71</v>
      </c>
      <c r="AF45">
        <v>0</v>
      </c>
      <c r="AG45">
        <v>0</v>
      </c>
      <c r="AH45">
        <v>0</v>
      </c>
      <c r="AI45">
        <v>1.4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0</v>
      </c>
      <c r="AQ45">
        <v>1</v>
      </c>
      <c r="AR45">
        <v>0</v>
      </c>
      <c r="AS45" t="s">
        <v>3</v>
      </c>
      <c r="AT45">
        <v>0.15</v>
      </c>
      <c r="AU45" t="s">
        <v>3</v>
      </c>
      <c r="AV45">
        <v>0</v>
      </c>
      <c r="AW45">
        <v>2</v>
      </c>
      <c r="AX45">
        <v>65171089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5.3564999999999996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5.3564999999999996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1</v>
      </c>
      <c r="CV45">
        <v>0</v>
      </c>
      <c r="CW45">
        <v>0</v>
      </c>
      <c r="CX45">
        <f>ROUND(Y45*Source!I67,7)</f>
        <v>0.22500000000000001</v>
      </c>
      <c r="CY45">
        <f>AA45</f>
        <v>49.99</v>
      </c>
      <c r="CZ45">
        <f>AE45</f>
        <v>35.71</v>
      </c>
      <c r="DA45">
        <f>AI45</f>
        <v>1.4</v>
      </c>
      <c r="DB45">
        <f t="shared" si="22"/>
        <v>5.36</v>
      </c>
      <c r="DC45">
        <f t="shared" si="23"/>
        <v>0</v>
      </c>
      <c r="DD45" t="s">
        <v>3</v>
      </c>
      <c r="DE45" t="s">
        <v>3</v>
      </c>
      <c r="DF45">
        <f>ROUND(ROUND(AE45*AI45,2)*CX45,2)</f>
        <v>11.25</v>
      </c>
      <c r="DG45">
        <f t="shared" si="10"/>
        <v>0</v>
      </c>
      <c r="DH45">
        <f t="shared" si="0"/>
        <v>0</v>
      </c>
      <c r="DI45">
        <f t="shared" si="5"/>
        <v>0</v>
      </c>
      <c r="DJ45">
        <f>DF45</f>
        <v>11.25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ROW(Source!A67)</f>
        <v>67</v>
      </c>
      <c r="B46">
        <v>65170852</v>
      </c>
      <c r="C46">
        <v>65171077</v>
      </c>
      <c r="D46">
        <v>56218575</v>
      </c>
      <c r="E46">
        <v>108</v>
      </c>
      <c r="F46">
        <v>1</v>
      </c>
      <c r="G46">
        <v>1</v>
      </c>
      <c r="H46">
        <v>3</v>
      </c>
      <c r="I46" t="s">
        <v>600</v>
      </c>
      <c r="J46" t="s">
        <v>3</v>
      </c>
      <c r="K46" t="s">
        <v>601</v>
      </c>
      <c r="L46">
        <v>1339</v>
      </c>
      <c r="N46">
        <v>1007</v>
      </c>
      <c r="O46" t="s">
        <v>129</v>
      </c>
      <c r="P46" t="s">
        <v>129</v>
      </c>
      <c r="Q46">
        <v>1</v>
      </c>
      <c r="W46">
        <v>0</v>
      </c>
      <c r="X46">
        <v>220090467</v>
      </c>
      <c r="Y46">
        <f t="shared" si="21"/>
        <v>1.1000000000000001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0</v>
      </c>
      <c r="AP46">
        <v>0</v>
      </c>
      <c r="AQ46">
        <v>1</v>
      </c>
      <c r="AR46">
        <v>0</v>
      </c>
      <c r="AS46" t="s">
        <v>3</v>
      </c>
      <c r="AT46">
        <v>1.1000000000000001</v>
      </c>
      <c r="AU46" t="s">
        <v>3</v>
      </c>
      <c r="AV46">
        <v>0</v>
      </c>
      <c r="AW46">
        <v>2</v>
      </c>
      <c r="AX46">
        <v>65171090</v>
      </c>
      <c r="AY46">
        <v>1</v>
      </c>
      <c r="AZ46">
        <v>0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ROUND(Y46*Source!I67,7)</f>
        <v>1.65</v>
      </c>
      <c r="CY46">
        <f>AA46</f>
        <v>0</v>
      </c>
      <c r="CZ46">
        <f>AE46</f>
        <v>0</v>
      </c>
      <c r="DA46">
        <f>AI46</f>
        <v>1</v>
      </c>
      <c r="DB46">
        <f t="shared" si="22"/>
        <v>0</v>
      </c>
      <c r="DC46">
        <f t="shared" si="23"/>
        <v>0</v>
      </c>
      <c r="DD46" t="s">
        <v>3</v>
      </c>
      <c r="DE46" t="s">
        <v>3</v>
      </c>
      <c r="DF46">
        <f>ROUND(ROUND(AE46,2)*CX46,2)</f>
        <v>0</v>
      </c>
      <c r="DG46">
        <f t="shared" si="10"/>
        <v>0</v>
      </c>
      <c r="DH46">
        <f t="shared" si="0"/>
        <v>0</v>
      </c>
      <c r="DI46">
        <f t="shared" si="5"/>
        <v>0</v>
      </c>
      <c r="DJ46">
        <f>DF46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ROW(Source!A67)</f>
        <v>67</v>
      </c>
      <c r="B47">
        <v>65170852</v>
      </c>
      <c r="C47">
        <v>65171077</v>
      </c>
      <c r="D47">
        <v>56583163</v>
      </c>
      <c r="E47">
        <v>1</v>
      </c>
      <c r="F47">
        <v>1</v>
      </c>
      <c r="G47">
        <v>1</v>
      </c>
      <c r="H47">
        <v>3</v>
      </c>
      <c r="I47" t="s">
        <v>136</v>
      </c>
      <c r="J47" t="s">
        <v>138</v>
      </c>
      <c r="K47" t="s">
        <v>137</v>
      </c>
      <c r="L47">
        <v>1339</v>
      </c>
      <c r="N47">
        <v>1007</v>
      </c>
      <c r="O47" t="s">
        <v>129</v>
      </c>
      <c r="P47" t="s">
        <v>129</v>
      </c>
      <c r="Q47">
        <v>1</v>
      </c>
      <c r="W47">
        <v>0</v>
      </c>
      <c r="X47">
        <v>-393681643</v>
      </c>
      <c r="Y47">
        <f t="shared" si="21"/>
        <v>1.1001737</v>
      </c>
      <c r="AA47">
        <v>1090.8399999999999</v>
      </c>
      <c r="AB47">
        <v>0</v>
      </c>
      <c r="AC47">
        <v>0</v>
      </c>
      <c r="AD47">
        <v>0</v>
      </c>
      <c r="AE47">
        <v>565.20000000000005</v>
      </c>
      <c r="AF47">
        <v>0</v>
      </c>
      <c r="AG47">
        <v>0</v>
      </c>
      <c r="AH47">
        <v>0</v>
      </c>
      <c r="AI47">
        <v>1.93</v>
      </c>
      <c r="AJ47">
        <v>1</v>
      </c>
      <c r="AK47">
        <v>1</v>
      </c>
      <c r="AL47">
        <v>1</v>
      </c>
      <c r="AM47">
        <v>2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3</v>
      </c>
      <c r="AT47">
        <v>1.1001737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ROUND(Y47*Source!I67,7)</f>
        <v>1.6502606</v>
      </c>
      <c r="CY47">
        <f>AA47</f>
        <v>1090.8399999999999</v>
      </c>
      <c r="CZ47">
        <f>AE47</f>
        <v>565.20000000000005</v>
      </c>
      <c r="DA47">
        <f>AI47</f>
        <v>1.93</v>
      </c>
      <c r="DB47">
        <f t="shared" si="22"/>
        <v>621.82000000000005</v>
      </c>
      <c r="DC47">
        <f t="shared" si="23"/>
        <v>0</v>
      </c>
      <c r="DD47" t="s">
        <v>3</v>
      </c>
      <c r="DE47" t="s">
        <v>3</v>
      </c>
      <c r="DF47">
        <f>ROUND(ROUND(AE47*AI47,2)*CX47,2)</f>
        <v>1800.17</v>
      </c>
      <c r="DG47">
        <f t="shared" si="10"/>
        <v>0</v>
      </c>
      <c r="DH47">
        <f t="shared" si="0"/>
        <v>0</v>
      </c>
      <c r="DI47">
        <f t="shared" si="5"/>
        <v>0</v>
      </c>
      <c r="DJ47">
        <f>DF47</f>
        <v>1800.17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ROW(Source!A69)</f>
        <v>69</v>
      </c>
      <c r="B48">
        <v>65170852</v>
      </c>
      <c r="C48">
        <v>65171092</v>
      </c>
      <c r="D48">
        <v>37068121</v>
      </c>
      <c r="E48">
        <v>108</v>
      </c>
      <c r="F48">
        <v>1</v>
      </c>
      <c r="G48">
        <v>1</v>
      </c>
      <c r="H48">
        <v>1</v>
      </c>
      <c r="I48" t="s">
        <v>588</v>
      </c>
      <c r="J48" t="s">
        <v>3</v>
      </c>
      <c r="K48" t="s">
        <v>589</v>
      </c>
      <c r="L48">
        <v>1191</v>
      </c>
      <c r="N48">
        <v>1013</v>
      </c>
      <c r="O48" t="s">
        <v>509</v>
      </c>
      <c r="P48" t="s">
        <v>509</v>
      </c>
      <c r="Q48">
        <v>1</v>
      </c>
      <c r="W48">
        <v>0</v>
      </c>
      <c r="X48">
        <v>-366857280</v>
      </c>
      <c r="Y48">
        <f t="shared" si="21"/>
        <v>0.85</v>
      </c>
      <c r="AA48">
        <v>0</v>
      </c>
      <c r="AB48">
        <v>0</v>
      </c>
      <c r="AC48">
        <v>0</v>
      </c>
      <c r="AD48">
        <v>406.35</v>
      </c>
      <c r="AE48">
        <v>0</v>
      </c>
      <c r="AF48">
        <v>0</v>
      </c>
      <c r="AG48">
        <v>0</v>
      </c>
      <c r="AH48">
        <v>406.35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3</v>
      </c>
      <c r="AT48">
        <v>0.85</v>
      </c>
      <c r="AU48" t="s">
        <v>3</v>
      </c>
      <c r="AV48">
        <v>1</v>
      </c>
      <c r="AW48">
        <v>2</v>
      </c>
      <c r="AX48">
        <v>65171100</v>
      </c>
      <c r="AY48">
        <v>1</v>
      </c>
      <c r="AZ48">
        <v>0</v>
      </c>
      <c r="BA48">
        <v>47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345.39750000000004</v>
      </c>
      <c r="BN48">
        <v>0.85</v>
      </c>
      <c r="BO48">
        <v>0</v>
      </c>
      <c r="BP48">
        <v>1</v>
      </c>
      <c r="BQ48">
        <v>0</v>
      </c>
      <c r="BR48">
        <v>0</v>
      </c>
      <c r="BS48">
        <v>0</v>
      </c>
      <c r="BT48">
        <v>345.39750000000004</v>
      </c>
      <c r="BU48">
        <v>0.85</v>
      </c>
      <c r="BV48">
        <v>0</v>
      </c>
      <c r="BW48">
        <v>1</v>
      </c>
      <c r="CU48">
        <f>ROUND(AT48*Source!I69*AH48*AL48,2)</f>
        <v>518.1</v>
      </c>
      <c r="CV48">
        <f>ROUND(Y48*Source!I69,7)</f>
        <v>1.2749999999999999</v>
      </c>
      <c r="CW48">
        <v>0</v>
      </c>
      <c r="CX48">
        <f>ROUND(Y48*Source!I69,7)</f>
        <v>1.2749999999999999</v>
      </c>
      <c r="CY48">
        <f>AD48</f>
        <v>406.35</v>
      </c>
      <c r="CZ48">
        <f>AH48</f>
        <v>406.35</v>
      </c>
      <c r="DA48">
        <f>AL48</f>
        <v>1</v>
      </c>
      <c r="DB48">
        <f t="shared" si="22"/>
        <v>345.4</v>
      </c>
      <c r="DC48">
        <f t="shared" si="23"/>
        <v>0</v>
      </c>
      <c r="DD48" t="s">
        <v>3</v>
      </c>
      <c r="DE48" t="s">
        <v>3</v>
      </c>
      <c r="DF48">
        <f>ROUND(ROUND(AE48,2)*CX48,2)</f>
        <v>0</v>
      </c>
      <c r="DG48">
        <f t="shared" si="10"/>
        <v>0</v>
      </c>
      <c r="DH48">
        <f t="shared" si="0"/>
        <v>0</v>
      </c>
      <c r="DI48">
        <f t="shared" si="5"/>
        <v>518.1</v>
      </c>
      <c r="DJ48">
        <f>DI48</f>
        <v>518.1</v>
      </c>
      <c r="DK48">
        <v>1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ROW(Source!A69)</f>
        <v>69</v>
      </c>
      <c r="B49">
        <v>65170852</v>
      </c>
      <c r="C49">
        <v>65171092</v>
      </c>
      <c r="D49">
        <v>37064876</v>
      </c>
      <c r="E49">
        <v>108</v>
      </c>
      <c r="F49">
        <v>1</v>
      </c>
      <c r="G49">
        <v>1</v>
      </c>
      <c r="H49">
        <v>1</v>
      </c>
      <c r="I49" t="s">
        <v>510</v>
      </c>
      <c r="J49" t="s">
        <v>3</v>
      </c>
      <c r="K49" t="s">
        <v>511</v>
      </c>
      <c r="L49">
        <v>1191</v>
      </c>
      <c r="N49">
        <v>1013</v>
      </c>
      <c r="O49" t="s">
        <v>509</v>
      </c>
      <c r="P49" t="s">
        <v>509</v>
      </c>
      <c r="Q49">
        <v>1</v>
      </c>
      <c r="W49">
        <v>0</v>
      </c>
      <c r="X49">
        <v>-1417349443</v>
      </c>
      <c r="Y49">
        <f t="shared" si="21"/>
        <v>7.0000000000000007E-2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3</v>
      </c>
      <c r="AT49">
        <v>7.0000000000000007E-2</v>
      </c>
      <c r="AU49" t="s">
        <v>3</v>
      </c>
      <c r="AV49">
        <v>2</v>
      </c>
      <c r="AW49">
        <v>2</v>
      </c>
      <c r="AX49">
        <v>65171101</v>
      </c>
      <c r="AY49">
        <v>1</v>
      </c>
      <c r="AZ49">
        <v>0</v>
      </c>
      <c r="BA49">
        <v>48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ROUND(Y49*Source!I69,7)</f>
        <v>0.105</v>
      </c>
      <c r="CY49">
        <f>AD49</f>
        <v>0</v>
      </c>
      <c r="CZ49">
        <f>AH49</f>
        <v>0</v>
      </c>
      <c r="DA49">
        <f>AL49</f>
        <v>1</v>
      </c>
      <c r="DB49">
        <f t="shared" si="22"/>
        <v>0</v>
      </c>
      <c r="DC49">
        <f t="shared" si="23"/>
        <v>0</v>
      </c>
      <c r="DD49" t="s">
        <v>3</v>
      </c>
      <c r="DE49" t="s">
        <v>3</v>
      </c>
      <c r="DF49">
        <f>ROUND(ROUND(AE49,2)*CX49,2)</f>
        <v>0</v>
      </c>
      <c r="DG49">
        <f t="shared" si="10"/>
        <v>0</v>
      </c>
      <c r="DH49">
        <f t="shared" si="0"/>
        <v>0</v>
      </c>
      <c r="DI49">
        <f t="shared" si="5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ROW(Source!A69)</f>
        <v>69</v>
      </c>
      <c r="B50">
        <v>65170852</v>
      </c>
      <c r="C50">
        <v>65171092</v>
      </c>
      <c r="D50">
        <v>56571691</v>
      </c>
      <c r="E50">
        <v>1</v>
      </c>
      <c r="F50">
        <v>1</v>
      </c>
      <c r="G50">
        <v>1</v>
      </c>
      <c r="H50">
        <v>2</v>
      </c>
      <c r="I50" t="s">
        <v>590</v>
      </c>
      <c r="J50" t="s">
        <v>591</v>
      </c>
      <c r="K50" t="s">
        <v>592</v>
      </c>
      <c r="L50">
        <v>1368</v>
      </c>
      <c r="N50">
        <v>1011</v>
      </c>
      <c r="O50" t="s">
        <v>515</v>
      </c>
      <c r="P50" t="s">
        <v>515</v>
      </c>
      <c r="Q50">
        <v>1</v>
      </c>
      <c r="W50">
        <v>0</v>
      </c>
      <c r="X50">
        <v>1775487060</v>
      </c>
      <c r="Y50">
        <f t="shared" si="21"/>
        <v>7.0000000000000007E-2</v>
      </c>
      <c r="AA50">
        <v>0</v>
      </c>
      <c r="AB50">
        <v>1246.67</v>
      </c>
      <c r="AC50">
        <v>563.76</v>
      </c>
      <c r="AD50">
        <v>0</v>
      </c>
      <c r="AE50">
        <v>0</v>
      </c>
      <c r="AF50">
        <v>1246.67</v>
      </c>
      <c r="AG50">
        <v>563.76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1</v>
      </c>
      <c r="AQ50">
        <v>1</v>
      </c>
      <c r="AR50">
        <v>0</v>
      </c>
      <c r="AS50" t="s">
        <v>3</v>
      </c>
      <c r="AT50">
        <v>7.0000000000000007E-2</v>
      </c>
      <c r="AU50" t="s">
        <v>3</v>
      </c>
      <c r="AV50">
        <v>1</v>
      </c>
      <c r="AW50">
        <v>2</v>
      </c>
      <c r="AX50">
        <v>65171102</v>
      </c>
      <c r="AY50">
        <v>1</v>
      </c>
      <c r="AZ50">
        <v>0</v>
      </c>
      <c r="BA50">
        <v>49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87.266900000000007</v>
      </c>
      <c r="BL50">
        <v>39.463200000000001</v>
      </c>
      <c r="BM50">
        <v>0</v>
      </c>
      <c r="BN50">
        <v>0</v>
      </c>
      <c r="BO50">
        <v>7.0000000000000007E-2</v>
      </c>
      <c r="BP50">
        <v>1</v>
      </c>
      <c r="BQ50">
        <v>0</v>
      </c>
      <c r="BR50">
        <v>87.266900000000007</v>
      </c>
      <c r="BS50">
        <v>39.463200000000001</v>
      </c>
      <c r="BT50">
        <v>0</v>
      </c>
      <c r="BU50">
        <v>0</v>
      </c>
      <c r="BV50">
        <v>7.0000000000000007E-2</v>
      </c>
      <c r="BW50">
        <v>1</v>
      </c>
      <c r="CV50">
        <v>0</v>
      </c>
      <c r="CW50">
        <f>ROUND(Y50*Source!I69*DO50,7)</f>
        <v>0.105</v>
      </c>
      <c r="CX50">
        <f>ROUND(Y50*Source!I69,7)</f>
        <v>0.105</v>
      </c>
      <c r="CY50">
        <f>AB50</f>
        <v>1246.67</v>
      </c>
      <c r="CZ50">
        <f>AF50</f>
        <v>1246.67</v>
      </c>
      <c r="DA50">
        <f>AJ50</f>
        <v>1</v>
      </c>
      <c r="DB50">
        <f t="shared" si="22"/>
        <v>87.27</v>
      </c>
      <c r="DC50">
        <f t="shared" si="23"/>
        <v>39.46</v>
      </c>
      <c r="DD50" t="s">
        <v>3</v>
      </c>
      <c r="DE50" t="s">
        <v>3</v>
      </c>
      <c r="DF50">
        <f>ROUND(ROUND(AE50,2)*CX50,2)</f>
        <v>0</v>
      </c>
      <c r="DG50">
        <f t="shared" si="10"/>
        <v>130.9</v>
      </c>
      <c r="DH50">
        <f t="shared" si="0"/>
        <v>59.19</v>
      </c>
      <c r="DI50">
        <f t="shared" si="5"/>
        <v>0</v>
      </c>
      <c r="DJ50">
        <f>DG50+DH50</f>
        <v>190.09</v>
      </c>
      <c r="DK50">
        <v>1</v>
      </c>
      <c r="DL50" t="s">
        <v>593</v>
      </c>
      <c r="DM50">
        <v>5</v>
      </c>
      <c r="DN50" t="s">
        <v>509</v>
      </c>
      <c r="DO50">
        <v>1</v>
      </c>
    </row>
    <row r="51" spans="1:119" x14ac:dyDescent="0.2">
      <c r="A51">
        <f>ROW(Source!A69)</f>
        <v>69</v>
      </c>
      <c r="B51">
        <v>65170852</v>
      </c>
      <c r="C51">
        <v>65171092</v>
      </c>
      <c r="D51">
        <v>56572130</v>
      </c>
      <c r="E51">
        <v>1</v>
      </c>
      <c r="F51">
        <v>1</v>
      </c>
      <c r="G51">
        <v>1</v>
      </c>
      <c r="H51">
        <v>2</v>
      </c>
      <c r="I51" t="s">
        <v>594</v>
      </c>
      <c r="J51" t="s">
        <v>595</v>
      </c>
      <c r="K51" t="s">
        <v>596</v>
      </c>
      <c r="L51">
        <v>1368</v>
      </c>
      <c r="N51">
        <v>1011</v>
      </c>
      <c r="O51" t="s">
        <v>515</v>
      </c>
      <c r="P51" t="s">
        <v>515</v>
      </c>
      <c r="Q51">
        <v>1</v>
      </c>
      <c r="W51">
        <v>0</v>
      </c>
      <c r="X51">
        <v>-905031666</v>
      </c>
      <c r="Y51">
        <f t="shared" si="21"/>
        <v>0.4</v>
      </c>
      <c r="AA51">
        <v>0</v>
      </c>
      <c r="AB51">
        <v>17.21</v>
      </c>
      <c r="AC51">
        <v>0</v>
      </c>
      <c r="AD51">
        <v>0</v>
      </c>
      <c r="AE51">
        <v>0</v>
      </c>
      <c r="AF51">
        <v>17.21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3</v>
      </c>
      <c r="AT51">
        <v>0.4</v>
      </c>
      <c r="AU51" t="s">
        <v>3</v>
      </c>
      <c r="AV51">
        <v>1</v>
      </c>
      <c r="AW51">
        <v>2</v>
      </c>
      <c r="AX51">
        <v>65171103</v>
      </c>
      <c r="AY51">
        <v>1</v>
      </c>
      <c r="AZ51">
        <v>0</v>
      </c>
      <c r="BA51">
        <v>50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6.8840000000000003</v>
      </c>
      <c r="BL51">
        <v>0</v>
      </c>
      <c r="BM51">
        <v>0</v>
      </c>
      <c r="BN51">
        <v>0</v>
      </c>
      <c r="BO51">
        <v>0</v>
      </c>
      <c r="BP51">
        <v>1</v>
      </c>
      <c r="BQ51">
        <v>0</v>
      </c>
      <c r="BR51">
        <v>6.8840000000000003</v>
      </c>
      <c r="BS51">
        <v>0</v>
      </c>
      <c r="BT51">
        <v>0</v>
      </c>
      <c r="BU51">
        <v>0</v>
      </c>
      <c r="BV51">
        <v>0</v>
      </c>
      <c r="BW51">
        <v>1</v>
      </c>
      <c r="CV51">
        <v>0</v>
      </c>
      <c r="CW51">
        <f>ROUND(Y51*Source!I69*DO51,7)</f>
        <v>0</v>
      </c>
      <c r="CX51">
        <f>ROUND(Y51*Source!I69,7)</f>
        <v>0.6</v>
      </c>
      <c r="CY51">
        <f>AB51</f>
        <v>17.21</v>
      </c>
      <c r="CZ51">
        <f>AF51</f>
        <v>17.21</v>
      </c>
      <c r="DA51">
        <f>AJ51</f>
        <v>1</v>
      </c>
      <c r="DB51">
        <f t="shared" si="22"/>
        <v>6.88</v>
      </c>
      <c r="DC51">
        <f t="shared" si="23"/>
        <v>0</v>
      </c>
      <c r="DD51" t="s">
        <v>3</v>
      </c>
      <c r="DE51" t="s">
        <v>3</v>
      </c>
      <c r="DF51">
        <f>ROUND(ROUND(AE51,2)*CX51,2)</f>
        <v>0</v>
      </c>
      <c r="DG51">
        <f t="shared" si="10"/>
        <v>10.33</v>
      </c>
      <c r="DH51">
        <f t="shared" si="0"/>
        <v>0</v>
      </c>
      <c r="DI51">
        <f t="shared" si="5"/>
        <v>0</v>
      </c>
      <c r="DJ51">
        <f>DG51+DH51</f>
        <v>10.33</v>
      </c>
      <c r="DK51">
        <v>1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ROW(Source!A69)</f>
        <v>69</v>
      </c>
      <c r="B52">
        <v>65170852</v>
      </c>
      <c r="C52">
        <v>65171092</v>
      </c>
      <c r="D52">
        <v>56577954</v>
      </c>
      <c r="E52">
        <v>1</v>
      </c>
      <c r="F52">
        <v>1</v>
      </c>
      <c r="G52">
        <v>1</v>
      </c>
      <c r="H52">
        <v>3</v>
      </c>
      <c r="I52" t="s">
        <v>597</v>
      </c>
      <c r="J52" t="s">
        <v>598</v>
      </c>
      <c r="K52" t="s">
        <v>599</v>
      </c>
      <c r="L52">
        <v>1339</v>
      </c>
      <c r="N52">
        <v>1007</v>
      </c>
      <c r="O52" t="s">
        <v>129</v>
      </c>
      <c r="P52" t="s">
        <v>129</v>
      </c>
      <c r="Q52">
        <v>1</v>
      </c>
      <c r="W52">
        <v>0</v>
      </c>
      <c r="X52">
        <v>545434569</v>
      </c>
      <c r="Y52">
        <f t="shared" si="21"/>
        <v>0.15</v>
      </c>
      <c r="AA52">
        <v>49.99</v>
      </c>
      <c r="AB52">
        <v>0</v>
      </c>
      <c r="AC52">
        <v>0</v>
      </c>
      <c r="AD52">
        <v>0</v>
      </c>
      <c r="AE52">
        <v>35.71</v>
      </c>
      <c r="AF52">
        <v>0</v>
      </c>
      <c r="AG52">
        <v>0</v>
      </c>
      <c r="AH52">
        <v>0</v>
      </c>
      <c r="AI52">
        <v>1.4</v>
      </c>
      <c r="AJ52">
        <v>1</v>
      </c>
      <c r="AK52">
        <v>1</v>
      </c>
      <c r="AL52">
        <v>1</v>
      </c>
      <c r="AM52">
        <v>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3</v>
      </c>
      <c r="AT52">
        <v>0.15</v>
      </c>
      <c r="AU52" t="s">
        <v>3</v>
      </c>
      <c r="AV52">
        <v>0</v>
      </c>
      <c r="AW52">
        <v>2</v>
      </c>
      <c r="AX52">
        <v>65171104</v>
      </c>
      <c r="AY52">
        <v>1</v>
      </c>
      <c r="AZ52">
        <v>0</v>
      </c>
      <c r="BA52">
        <v>51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5.3564999999999996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1</v>
      </c>
      <c r="BQ52">
        <v>5.3564999999999996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1</v>
      </c>
      <c r="CV52">
        <v>0</v>
      </c>
      <c r="CW52">
        <v>0</v>
      </c>
      <c r="CX52">
        <f>ROUND(Y52*Source!I69,7)</f>
        <v>0.22500000000000001</v>
      </c>
      <c r="CY52">
        <f>AA52</f>
        <v>49.99</v>
      </c>
      <c r="CZ52">
        <f>AE52</f>
        <v>35.71</v>
      </c>
      <c r="DA52">
        <f>AI52</f>
        <v>1.4</v>
      </c>
      <c r="DB52">
        <f t="shared" si="22"/>
        <v>5.36</v>
      </c>
      <c r="DC52">
        <f t="shared" si="23"/>
        <v>0</v>
      </c>
      <c r="DD52" t="s">
        <v>3</v>
      </c>
      <c r="DE52" t="s">
        <v>3</v>
      </c>
      <c r="DF52">
        <f>ROUND(ROUND(AE52*AI52,2)*CX52,2)</f>
        <v>11.25</v>
      </c>
      <c r="DG52">
        <f t="shared" si="10"/>
        <v>0</v>
      </c>
      <c r="DH52">
        <f t="shared" si="0"/>
        <v>0</v>
      </c>
      <c r="DI52">
        <f t="shared" si="5"/>
        <v>0</v>
      </c>
      <c r="DJ52">
        <f>DF52</f>
        <v>11.25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ROW(Source!A69)</f>
        <v>69</v>
      </c>
      <c r="B53">
        <v>65170852</v>
      </c>
      <c r="C53">
        <v>65171092</v>
      </c>
      <c r="D53">
        <v>56218532</v>
      </c>
      <c r="E53">
        <v>108</v>
      </c>
      <c r="F53">
        <v>1</v>
      </c>
      <c r="G53">
        <v>1</v>
      </c>
      <c r="H53">
        <v>3</v>
      </c>
      <c r="I53" t="s">
        <v>602</v>
      </c>
      <c r="J53" t="s">
        <v>3</v>
      </c>
      <c r="K53" t="s">
        <v>603</v>
      </c>
      <c r="L53">
        <v>1339</v>
      </c>
      <c r="N53">
        <v>1007</v>
      </c>
      <c r="O53" t="s">
        <v>129</v>
      </c>
      <c r="P53" t="s">
        <v>129</v>
      </c>
      <c r="Q53">
        <v>1</v>
      </c>
      <c r="W53">
        <v>0</v>
      </c>
      <c r="X53">
        <v>1239012555</v>
      </c>
      <c r="Y53">
        <f t="shared" si="21"/>
        <v>1.1499999999999999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3</v>
      </c>
      <c r="AT53">
        <v>1.1499999999999999</v>
      </c>
      <c r="AU53" t="s">
        <v>3</v>
      </c>
      <c r="AV53">
        <v>0</v>
      </c>
      <c r="AW53">
        <v>2</v>
      </c>
      <c r="AX53">
        <v>65171105</v>
      </c>
      <c r="AY53">
        <v>1</v>
      </c>
      <c r="AZ53">
        <v>0</v>
      </c>
      <c r="BA53">
        <v>52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ROUND(Y53*Source!I69,7)</f>
        <v>1.7250000000000001</v>
      </c>
      <c r="CY53">
        <f>AA53</f>
        <v>0</v>
      </c>
      <c r="CZ53">
        <f>AE53</f>
        <v>0</v>
      </c>
      <c r="DA53">
        <f>AI53</f>
        <v>1</v>
      </c>
      <c r="DB53">
        <f t="shared" si="22"/>
        <v>0</v>
      </c>
      <c r="DC53">
        <f t="shared" si="23"/>
        <v>0</v>
      </c>
      <c r="DD53" t="s">
        <v>3</v>
      </c>
      <c r="DE53" t="s">
        <v>3</v>
      </c>
      <c r="DF53">
        <f>ROUND(ROUND(AE53,2)*CX53,2)</f>
        <v>0</v>
      </c>
      <c r="DG53">
        <f t="shared" si="10"/>
        <v>0</v>
      </c>
      <c r="DH53">
        <f t="shared" si="0"/>
        <v>0</v>
      </c>
      <c r="DI53">
        <f t="shared" si="5"/>
        <v>0</v>
      </c>
      <c r="DJ53">
        <f>DF53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ROW(Source!A69)</f>
        <v>69</v>
      </c>
      <c r="B54">
        <v>65170852</v>
      </c>
      <c r="C54">
        <v>65171092</v>
      </c>
      <c r="D54">
        <v>56582936</v>
      </c>
      <c r="E54">
        <v>1</v>
      </c>
      <c r="F54">
        <v>1</v>
      </c>
      <c r="G54">
        <v>1</v>
      </c>
      <c r="H54">
        <v>3</v>
      </c>
      <c r="I54" t="s">
        <v>144</v>
      </c>
      <c r="J54" t="s">
        <v>146</v>
      </c>
      <c r="K54" t="s">
        <v>145</v>
      </c>
      <c r="L54">
        <v>1339</v>
      </c>
      <c r="N54">
        <v>1007</v>
      </c>
      <c r="O54" t="s">
        <v>129</v>
      </c>
      <c r="P54" t="s">
        <v>129</v>
      </c>
      <c r="Q54">
        <v>1</v>
      </c>
      <c r="W54">
        <v>0</v>
      </c>
      <c r="X54">
        <v>1662864284</v>
      </c>
      <c r="Y54">
        <f t="shared" si="21"/>
        <v>1.1515152</v>
      </c>
      <c r="AA54">
        <v>3036.37</v>
      </c>
      <c r="AB54">
        <v>0</v>
      </c>
      <c r="AC54">
        <v>0</v>
      </c>
      <c r="AD54">
        <v>0</v>
      </c>
      <c r="AE54">
        <v>2184.44</v>
      </c>
      <c r="AF54">
        <v>0</v>
      </c>
      <c r="AG54">
        <v>0</v>
      </c>
      <c r="AH54">
        <v>0</v>
      </c>
      <c r="AI54">
        <v>1.39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0</v>
      </c>
      <c r="AP54">
        <v>1</v>
      </c>
      <c r="AQ54">
        <v>0</v>
      </c>
      <c r="AR54">
        <v>0</v>
      </c>
      <c r="AS54" t="s">
        <v>3</v>
      </c>
      <c r="AT54">
        <v>1.1515152</v>
      </c>
      <c r="AU54" t="s">
        <v>3</v>
      </c>
      <c r="AV54">
        <v>0</v>
      </c>
      <c r="AW54">
        <v>1</v>
      </c>
      <c r="AX54">
        <v>-1</v>
      </c>
      <c r="AY54">
        <v>0</v>
      </c>
      <c r="AZ54">
        <v>0</v>
      </c>
      <c r="BA54" t="s">
        <v>3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ROUND(Y54*Source!I69,7)</f>
        <v>1.7272727999999999</v>
      </c>
      <c r="CY54">
        <f>AA54</f>
        <v>3036.37</v>
      </c>
      <c r="CZ54">
        <f>AE54</f>
        <v>2184.44</v>
      </c>
      <c r="DA54">
        <f>AI54</f>
        <v>1.39</v>
      </c>
      <c r="DB54">
        <f t="shared" si="22"/>
        <v>2515.42</v>
      </c>
      <c r="DC54">
        <f t="shared" si="23"/>
        <v>0</v>
      </c>
      <c r="DD54" t="s">
        <v>3</v>
      </c>
      <c r="DE54" t="s">
        <v>3</v>
      </c>
      <c r="DF54">
        <f>ROUND(ROUND(AE54*AI54,2)*CX54,2)</f>
        <v>5244.64</v>
      </c>
      <c r="DG54">
        <f t="shared" si="10"/>
        <v>0</v>
      </c>
      <c r="DH54">
        <f t="shared" si="0"/>
        <v>0</v>
      </c>
      <c r="DI54">
        <f t="shared" si="5"/>
        <v>0</v>
      </c>
      <c r="DJ54">
        <f>DF54</f>
        <v>5244.64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ROW(Source!A71)</f>
        <v>71</v>
      </c>
      <c r="B55">
        <v>65170852</v>
      </c>
      <c r="C55">
        <v>65171107</v>
      </c>
      <c r="D55">
        <v>37070495</v>
      </c>
      <c r="E55">
        <v>108</v>
      </c>
      <c r="F55">
        <v>1</v>
      </c>
      <c r="G55">
        <v>1</v>
      </c>
      <c r="H55">
        <v>1</v>
      </c>
      <c r="I55" t="s">
        <v>507</v>
      </c>
      <c r="J55" t="s">
        <v>3</v>
      </c>
      <c r="K55" t="s">
        <v>508</v>
      </c>
      <c r="L55">
        <v>1191</v>
      </c>
      <c r="N55">
        <v>1013</v>
      </c>
      <c r="O55" t="s">
        <v>509</v>
      </c>
      <c r="P55" t="s">
        <v>509</v>
      </c>
      <c r="Q55">
        <v>1</v>
      </c>
      <c r="W55">
        <v>0</v>
      </c>
      <c r="X55">
        <v>784619160</v>
      </c>
      <c r="Y55">
        <f t="shared" si="21"/>
        <v>66.8</v>
      </c>
      <c r="AA55">
        <v>0</v>
      </c>
      <c r="AB55">
        <v>0</v>
      </c>
      <c r="AC55">
        <v>0</v>
      </c>
      <c r="AD55">
        <v>446.62</v>
      </c>
      <c r="AE55">
        <v>0</v>
      </c>
      <c r="AF55">
        <v>0</v>
      </c>
      <c r="AG55">
        <v>0</v>
      </c>
      <c r="AH55">
        <v>446.62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0</v>
      </c>
      <c r="AP55">
        <v>1</v>
      </c>
      <c r="AQ55">
        <v>1</v>
      </c>
      <c r="AR55">
        <v>0</v>
      </c>
      <c r="AS55" t="s">
        <v>3</v>
      </c>
      <c r="AT55">
        <v>66.8</v>
      </c>
      <c r="AU55" t="s">
        <v>3</v>
      </c>
      <c r="AV55">
        <v>1</v>
      </c>
      <c r="AW55">
        <v>2</v>
      </c>
      <c r="AX55">
        <v>65171117</v>
      </c>
      <c r="AY55">
        <v>1</v>
      </c>
      <c r="AZ55">
        <v>0</v>
      </c>
      <c r="BA55">
        <v>53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29834.216</v>
      </c>
      <c r="BN55">
        <v>66.8</v>
      </c>
      <c r="BO55">
        <v>0</v>
      </c>
      <c r="BP55">
        <v>1</v>
      </c>
      <c r="BQ55">
        <v>0</v>
      </c>
      <c r="BR55">
        <v>0</v>
      </c>
      <c r="BS55">
        <v>0</v>
      </c>
      <c r="BT55">
        <v>29834.216</v>
      </c>
      <c r="BU55">
        <v>66.8</v>
      </c>
      <c r="BV55">
        <v>0</v>
      </c>
      <c r="BW55">
        <v>1</v>
      </c>
      <c r="CU55">
        <f>ROUND(AT55*Source!I71*AH55*AL55,2)</f>
        <v>298.33999999999997</v>
      </c>
      <c r="CV55">
        <f>ROUND(Y55*Source!I71,7)</f>
        <v>0.66800000000000004</v>
      </c>
      <c r="CW55">
        <v>0</v>
      </c>
      <c r="CX55">
        <f>ROUND(Y55*Source!I71,7)</f>
        <v>0.66800000000000004</v>
      </c>
      <c r="CY55">
        <f>AD55</f>
        <v>446.62</v>
      </c>
      <c r="CZ55">
        <f>AH55</f>
        <v>446.62</v>
      </c>
      <c r="DA55">
        <f>AL55</f>
        <v>1</v>
      </c>
      <c r="DB55">
        <f t="shared" si="22"/>
        <v>29834.22</v>
      </c>
      <c r="DC55">
        <f t="shared" si="23"/>
        <v>0</v>
      </c>
      <c r="DD55" t="s">
        <v>3</v>
      </c>
      <c r="DE55" t="s">
        <v>3</v>
      </c>
      <c r="DF55">
        <f t="shared" ref="DF55:DF60" si="24">ROUND(ROUND(AE55,2)*CX55,2)</f>
        <v>0</v>
      </c>
      <c r="DG55">
        <f t="shared" si="10"/>
        <v>0</v>
      </c>
      <c r="DH55">
        <f t="shared" si="0"/>
        <v>0</v>
      </c>
      <c r="DI55">
        <f t="shared" si="5"/>
        <v>298.33999999999997</v>
      </c>
      <c r="DJ55">
        <f>DI55</f>
        <v>298.33999999999997</v>
      </c>
      <c r="DK55">
        <v>1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ROW(Source!A71)</f>
        <v>71</v>
      </c>
      <c r="B56">
        <v>65170852</v>
      </c>
      <c r="C56">
        <v>65171107</v>
      </c>
      <c r="D56">
        <v>37064876</v>
      </c>
      <c r="E56">
        <v>108</v>
      </c>
      <c r="F56">
        <v>1</v>
      </c>
      <c r="G56">
        <v>1</v>
      </c>
      <c r="H56">
        <v>1</v>
      </c>
      <c r="I56" t="s">
        <v>510</v>
      </c>
      <c r="J56" t="s">
        <v>3</v>
      </c>
      <c r="K56" t="s">
        <v>511</v>
      </c>
      <c r="L56">
        <v>1191</v>
      </c>
      <c r="N56">
        <v>1013</v>
      </c>
      <c r="O56" t="s">
        <v>509</v>
      </c>
      <c r="P56" t="s">
        <v>509</v>
      </c>
      <c r="Q56">
        <v>1</v>
      </c>
      <c r="W56">
        <v>0</v>
      </c>
      <c r="X56">
        <v>-1417349443</v>
      </c>
      <c r="Y56">
        <f t="shared" si="21"/>
        <v>27.06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3</v>
      </c>
      <c r="AT56">
        <v>27.06</v>
      </c>
      <c r="AU56" t="s">
        <v>3</v>
      </c>
      <c r="AV56">
        <v>2</v>
      </c>
      <c r="AW56">
        <v>2</v>
      </c>
      <c r="AX56">
        <v>65171118</v>
      </c>
      <c r="AY56">
        <v>1</v>
      </c>
      <c r="AZ56">
        <v>0</v>
      </c>
      <c r="BA56">
        <v>54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ROUND(Y56*Source!I71,7)</f>
        <v>0.27060000000000001</v>
      </c>
      <c r="CY56">
        <f>AD56</f>
        <v>0</v>
      </c>
      <c r="CZ56">
        <f>AH56</f>
        <v>0</v>
      </c>
      <c r="DA56">
        <f>AL56</f>
        <v>1</v>
      </c>
      <c r="DB56">
        <f t="shared" si="22"/>
        <v>0</v>
      </c>
      <c r="DC56">
        <f t="shared" si="23"/>
        <v>0</v>
      </c>
      <c r="DD56" t="s">
        <v>3</v>
      </c>
      <c r="DE56" t="s">
        <v>3</v>
      </c>
      <c r="DF56">
        <f t="shared" si="24"/>
        <v>0</v>
      </c>
      <c r="DG56">
        <f t="shared" si="10"/>
        <v>0</v>
      </c>
      <c r="DH56">
        <f t="shared" si="0"/>
        <v>0</v>
      </c>
      <c r="DI56">
        <f t="shared" si="5"/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ROW(Source!A71)</f>
        <v>71</v>
      </c>
      <c r="B57">
        <v>65170852</v>
      </c>
      <c r="C57">
        <v>65171107</v>
      </c>
      <c r="D57">
        <v>56571417</v>
      </c>
      <c r="E57">
        <v>1</v>
      </c>
      <c r="F57">
        <v>1</v>
      </c>
      <c r="G57">
        <v>1</v>
      </c>
      <c r="H57">
        <v>2</v>
      </c>
      <c r="I57" t="s">
        <v>512</v>
      </c>
      <c r="J57" t="s">
        <v>513</v>
      </c>
      <c r="K57" t="s">
        <v>514</v>
      </c>
      <c r="L57">
        <v>1368</v>
      </c>
      <c r="N57">
        <v>1011</v>
      </c>
      <c r="O57" t="s">
        <v>515</v>
      </c>
      <c r="P57" t="s">
        <v>515</v>
      </c>
      <c r="Q57">
        <v>1</v>
      </c>
      <c r="W57">
        <v>0</v>
      </c>
      <c r="X57">
        <v>-848025172</v>
      </c>
      <c r="Y57">
        <f t="shared" si="21"/>
        <v>3.6</v>
      </c>
      <c r="AA57">
        <v>0</v>
      </c>
      <c r="AB57">
        <v>1551.19</v>
      </c>
      <c r="AC57">
        <v>658.94</v>
      </c>
      <c r="AD57">
        <v>0</v>
      </c>
      <c r="AE57">
        <v>0</v>
      </c>
      <c r="AF57">
        <v>1551.19</v>
      </c>
      <c r="AG57">
        <v>658.94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3</v>
      </c>
      <c r="AT57">
        <v>3.6</v>
      </c>
      <c r="AU57" t="s">
        <v>3</v>
      </c>
      <c r="AV57">
        <v>1</v>
      </c>
      <c r="AW57">
        <v>2</v>
      </c>
      <c r="AX57">
        <v>65171119</v>
      </c>
      <c r="AY57">
        <v>1</v>
      </c>
      <c r="AZ57">
        <v>0</v>
      </c>
      <c r="BA57">
        <v>55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5584.2840000000006</v>
      </c>
      <c r="BL57">
        <v>2372.1840000000002</v>
      </c>
      <c r="BM57">
        <v>0</v>
      </c>
      <c r="BN57">
        <v>0</v>
      </c>
      <c r="BO57">
        <v>3.6</v>
      </c>
      <c r="BP57">
        <v>1</v>
      </c>
      <c r="BQ57">
        <v>0</v>
      </c>
      <c r="BR57">
        <v>5584.2840000000006</v>
      </c>
      <c r="BS57">
        <v>2372.1840000000002</v>
      </c>
      <c r="BT57">
        <v>0</v>
      </c>
      <c r="BU57">
        <v>0</v>
      </c>
      <c r="BV57">
        <v>3.6</v>
      </c>
      <c r="BW57">
        <v>1</v>
      </c>
      <c r="CV57">
        <v>0</v>
      </c>
      <c r="CW57">
        <f>ROUND(Y57*Source!I71*DO57,7)</f>
        <v>3.5999999999999997E-2</v>
      </c>
      <c r="CX57">
        <f>ROUND(Y57*Source!I71,7)</f>
        <v>3.5999999999999997E-2</v>
      </c>
      <c r="CY57">
        <f>AB57</f>
        <v>1551.19</v>
      </c>
      <c r="CZ57">
        <f>AF57</f>
        <v>1551.19</v>
      </c>
      <c r="DA57">
        <f>AJ57</f>
        <v>1</v>
      </c>
      <c r="DB57">
        <f t="shared" si="22"/>
        <v>5584.28</v>
      </c>
      <c r="DC57">
        <f t="shared" si="23"/>
        <v>2372.1799999999998</v>
      </c>
      <c r="DD57" t="s">
        <v>3</v>
      </c>
      <c r="DE57" t="s">
        <v>3</v>
      </c>
      <c r="DF57">
        <f t="shared" si="24"/>
        <v>0</v>
      </c>
      <c r="DG57">
        <f t="shared" si="10"/>
        <v>55.84</v>
      </c>
      <c r="DH57">
        <f t="shared" si="0"/>
        <v>23.72</v>
      </c>
      <c r="DI57">
        <f t="shared" si="5"/>
        <v>0</v>
      </c>
      <c r="DJ57">
        <f>DG57+DH57</f>
        <v>79.56</v>
      </c>
      <c r="DK57">
        <v>1</v>
      </c>
      <c r="DL57" t="s">
        <v>516</v>
      </c>
      <c r="DM57">
        <v>6</v>
      </c>
      <c r="DN57" t="s">
        <v>509</v>
      </c>
      <c r="DO57">
        <v>1</v>
      </c>
    </row>
    <row r="58" spans="1:119" x14ac:dyDescent="0.2">
      <c r="A58">
        <f>ROW(Source!A71)</f>
        <v>71</v>
      </c>
      <c r="B58">
        <v>65170852</v>
      </c>
      <c r="C58">
        <v>65171107</v>
      </c>
      <c r="D58">
        <v>56571433</v>
      </c>
      <c r="E58">
        <v>1</v>
      </c>
      <c r="F58">
        <v>1</v>
      </c>
      <c r="G58">
        <v>1</v>
      </c>
      <c r="H58">
        <v>2</v>
      </c>
      <c r="I58" t="s">
        <v>517</v>
      </c>
      <c r="J58" t="s">
        <v>518</v>
      </c>
      <c r="K58" t="s">
        <v>519</v>
      </c>
      <c r="L58">
        <v>1368</v>
      </c>
      <c r="N58">
        <v>1011</v>
      </c>
      <c r="O58" t="s">
        <v>515</v>
      </c>
      <c r="P58" t="s">
        <v>515</v>
      </c>
      <c r="Q58">
        <v>1</v>
      </c>
      <c r="W58">
        <v>0</v>
      </c>
      <c r="X58">
        <v>-1087419069</v>
      </c>
      <c r="Y58">
        <f t="shared" si="21"/>
        <v>18.2</v>
      </c>
      <c r="AA58">
        <v>0</v>
      </c>
      <c r="AB58">
        <v>2180.2199999999998</v>
      </c>
      <c r="AC58">
        <v>658.94</v>
      </c>
      <c r="AD58">
        <v>0</v>
      </c>
      <c r="AE58">
        <v>0</v>
      </c>
      <c r="AF58">
        <v>1703.3</v>
      </c>
      <c r="AG58">
        <v>658.94</v>
      </c>
      <c r="AH58">
        <v>0</v>
      </c>
      <c r="AI58">
        <v>1</v>
      </c>
      <c r="AJ58">
        <v>1.28</v>
      </c>
      <c r="AK58">
        <v>1</v>
      </c>
      <c r="AL58">
        <v>1</v>
      </c>
      <c r="AM58">
        <v>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18.2</v>
      </c>
      <c r="AU58" t="s">
        <v>3</v>
      </c>
      <c r="AV58">
        <v>1</v>
      </c>
      <c r="AW58">
        <v>2</v>
      </c>
      <c r="AX58">
        <v>65171120</v>
      </c>
      <c r="AY58">
        <v>1</v>
      </c>
      <c r="AZ58">
        <v>0</v>
      </c>
      <c r="BA58">
        <v>56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31000.059999999998</v>
      </c>
      <c r="BL58">
        <v>11992.708000000001</v>
      </c>
      <c r="BM58">
        <v>0</v>
      </c>
      <c r="BN58">
        <v>0</v>
      </c>
      <c r="BO58">
        <v>18.2</v>
      </c>
      <c r="BP58">
        <v>1</v>
      </c>
      <c r="BQ58">
        <v>0</v>
      </c>
      <c r="BR58">
        <v>31000.059999999998</v>
      </c>
      <c r="BS58">
        <v>11992.708000000001</v>
      </c>
      <c r="BT58">
        <v>0</v>
      </c>
      <c r="BU58">
        <v>0</v>
      </c>
      <c r="BV58">
        <v>18.2</v>
      </c>
      <c r="BW58">
        <v>1</v>
      </c>
      <c r="CV58">
        <v>0</v>
      </c>
      <c r="CW58">
        <f>ROUND(Y58*Source!I71*DO58,7)</f>
        <v>0.182</v>
      </c>
      <c r="CX58">
        <f>ROUND(Y58*Source!I71,7)</f>
        <v>0.182</v>
      </c>
      <c r="CY58">
        <f>AB58</f>
        <v>2180.2199999999998</v>
      </c>
      <c r="CZ58">
        <f>AF58</f>
        <v>1703.3</v>
      </c>
      <c r="DA58">
        <f>AJ58</f>
        <v>1.28</v>
      </c>
      <c r="DB58">
        <f t="shared" si="22"/>
        <v>31000.06</v>
      </c>
      <c r="DC58">
        <f t="shared" si="23"/>
        <v>11992.71</v>
      </c>
      <c r="DD58" t="s">
        <v>3</v>
      </c>
      <c r="DE58" t="s">
        <v>3</v>
      </c>
      <c r="DF58">
        <f t="shared" si="24"/>
        <v>0</v>
      </c>
      <c r="DG58">
        <f>ROUND(ROUND(AF58*AJ58,2)*CX58,2)</f>
        <v>396.8</v>
      </c>
      <c r="DH58">
        <f t="shared" si="0"/>
        <v>119.93</v>
      </c>
      <c r="DI58">
        <f t="shared" si="5"/>
        <v>0</v>
      </c>
      <c r="DJ58">
        <f>DG58+DH58</f>
        <v>516.73</v>
      </c>
      <c r="DK58">
        <v>0</v>
      </c>
      <c r="DL58" t="s">
        <v>516</v>
      </c>
      <c r="DM58">
        <v>6</v>
      </c>
      <c r="DN58" t="s">
        <v>509</v>
      </c>
      <c r="DO58">
        <v>1</v>
      </c>
    </row>
    <row r="59" spans="1:119" x14ac:dyDescent="0.2">
      <c r="A59">
        <f>ROW(Source!A71)</f>
        <v>71</v>
      </c>
      <c r="B59">
        <v>65170852</v>
      </c>
      <c r="C59">
        <v>65171107</v>
      </c>
      <c r="D59">
        <v>56572833</v>
      </c>
      <c r="E59">
        <v>1</v>
      </c>
      <c r="F59">
        <v>1</v>
      </c>
      <c r="G59">
        <v>1</v>
      </c>
      <c r="H59">
        <v>2</v>
      </c>
      <c r="I59" t="s">
        <v>520</v>
      </c>
      <c r="J59" t="s">
        <v>521</v>
      </c>
      <c r="K59" t="s">
        <v>522</v>
      </c>
      <c r="L59">
        <v>1368</v>
      </c>
      <c r="N59">
        <v>1011</v>
      </c>
      <c r="O59" t="s">
        <v>515</v>
      </c>
      <c r="P59" t="s">
        <v>515</v>
      </c>
      <c r="Q59">
        <v>1</v>
      </c>
      <c r="W59">
        <v>0</v>
      </c>
      <c r="X59">
        <v>1230426758</v>
      </c>
      <c r="Y59">
        <f t="shared" si="21"/>
        <v>5.26</v>
      </c>
      <c r="AA59">
        <v>0</v>
      </c>
      <c r="AB59">
        <v>578.28</v>
      </c>
      <c r="AC59">
        <v>490.55</v>
      </c>
      <c r="AD59">
        <v>0</v>
      </c>
      <c r="AE59">
        <v>0</v>
      </c>
      <c r="AF59">
        <v>477.92</v>
      </c>
      <c r="AG59">
        <v>490.55</v>
      </c>
      <c r="AH59">
        <v>0</v>
      </c>
      <c r="AI59">
        <v>1</v>
      </c>
      <c r="AJ59">
        <v>1.21</v>
      </c>
      <c r="AK59">
        <v>1</v>
      </c>
      <c r="AL59">
        <v>1</v>
      </c>
      <c r="AM59">
        <v>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3</v>
      </c>
      <c r="AT59">
        <v>5.26</v>
      </c>
      <c r="AU59" t="s">
        <v>3</v>
      </c>
      <c r="AV59">
        <v>1</v>
      </c>
      <c r="AW59">
        <v>2</v>
      </c>
      <c r="AX59">
        <v>65171121</v>
      </c>
      <c r="AY59">
        <v>1</v>
      </c>
      <c r="AZ59">
        <v>0</v>
      </c>
      <c r="BA59">
        <v>57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2513.8591999999999</v>
      </c>
      <c r="BL59">
        <v>2580.2930000000001</v>
      </c>
      <c r="BM59">
        <v>0</v>
      </c>
      <c r="BN59">
        <v>0</v>
      </c>
      <c r="BO59">
        <v>5.26</v>
      </c>
      <c r="BP59">
        <v>1</v>
      </c>
      <c r="BQ59">
        <v>0</v>
      </c>
      <c r="BR59">
        <v>2513.8591999999999</v>
      </c>
      <c r="BS59">
        <v>2580.2930000000001</v>
      </c>
      <c r="BT59">
        <v>0</v>
      </c>
      <c r="BU59">
        <v>0</v>
      </c>
      <c r="BV59">
        <v>5.26</v>
      </c>
      <c r="BW59">
        <v>1</v>
      </c>
      <c r="CV59">
        <v>0</v>
      </c>
      <c r="CW59">
        <f>ROUND(Y59*Source!I71*DO59,7)</f>
        <v>5.2600000000000001E-2</v>
      </c>
      <c r="CX59">
        <f>ROUND(Y59*Source!I71,7)</f>
        <v>5.2600000000000001E-2</v>
      </c>
      <c r="CY59">
        <f>AB59</f>
        <v>578.28</v>
      </c>
      <c r="CZ59">
        <f>AF59</f>
        <v>477.92</v>
      </c>
      <c r="DA59">
        <f>AJ59</f>
        <v>1.21</v>
      </c>
      <c r="DB59">
        <f t="shared" si="22"/>
        <v>2513.86</v>
      </c>
      <c r="DC59">
        <f t="shared" si="23"/>
        <v>2580.29</v>
      </c>
      <c r="DD59" t="s">
        <v>3</v>
      </c>
      <c r="DE59" t="s">
        <v>3</v>
      </c>
      <c r="DF59">
        <f t="shared" si="24"/>
        <v>0</v>
      </c>
      <c r="DG59">
        <f>ROUND(ROUND(AF59*AJ59,2)*CX59,2)</f>
        <v>30.42</v>
      </c>
      <c r="DH59">
        <f t="shared" si="0"/>
        <v>25.8</v>
      </c>
      <c r="DI59">
        <f t="shared" si="5"/>
        <v>0</v>
      </c>
      <c r="DJ59">
        <f>DG59+DH59</f>
        <v>56.22</v>
      </c>
      <c r="DK59">
        <v>0</v>
      </c>
      <c r="DL59" t="s">
        <v>523</v>
      </c>
      <c r="DM59">
        <v>4</v>
      </c>
      <c r="DN59" t="s">
        <v>509</v>
      </c>
      <c r="DO59">
        <v>1</v>
      </c>
    </row>
    <row r="60" spans="1:119" x14ac:dyDescent="0.2">
      <c r="A60">
        <f>ROW(Source!A71)</f>
        <v>71</v>
      </c>
      <c r="B60">
        <v>65170852</v>
      </c>
      <c r="C60">
        <v>65171107</v>
      </c>
      <c r="D60">
        <v>56218682</v>
      </c>
      <c r="E60">
        <v>108</v>
      </c>
      <c r="F60">
        <v>1</v>
      </c>
      <c r="G60">
        <v>1</v>
      </c>
      <c r="H60">
        <v>3</v>
      </c>
      <c r="I60" t="s">
        <v>524</v>
      </c>
      <c r="J60" t="s">
        <v>3</v>
      </c>
      <c r="K60" t="s">
        <v>525</v>
      </c>
      <c r="L60">
        <v>1339</v>
      </c>
      <c r="N60">
        <v>1007</v>
      </c>
      <c r="O60" t="s">
        <v>129</v>
      </c>
      <c r="P60" t="s">
        <v>129</v>
      </c>
      <c r="Q60">
        <v>1</v>
      </c>
      <c r="W60">
        <v>0</v>
      </c>
      <c r="X60">
        <v>-157982121</v>
      </c>
      <c r="Y60">
        <f t="shared" si="21"/>
        <v>0.71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0</v>
      </c>
      <c r="AQ60">
        <v>1</v>
      </c>
      <c r="AR60">
        <v>0</v>
      </c>
      <c r="AS60" t="s">
        <v>3</v>
      </c>
      <c r="AT60">
        <v>0.71</v>
      </c>
      <c r="AU60" t="s">
        <v>3</v>
      </c>
      <c r="AV60">
        <v>0</v>
      </c>
      <c r="AW60">
        <v>2</v>
      </c>
      <c r="AX60">
        <v>65171122</v>
      </c>
      <c r="AY60">
        <v>1</v>
      </c>
      <c r="AZ60">
        <v>0</v>
      </c>
      <c r="BA60">
        <v>58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ROUND(Y60*Source!I71,7)</f>
        <v>7.1000000000000004E-3</v>
      </c>
      <c r="CY60">
        <f>AA60</f>
        <v>0</v>
      </c>
      <c r="CZ60">
        <f>AE60</f>
        <v>0</v>
      </c>
      <c r="DA60">
        <f>AI60</f>
        <v>1</v>
      </c>
      <c r="DB60">
        <f t="shared" si="22"/>
        <v>0</v>
      </c>
      <c r="DC60">
        <f t="shared" si="23"/>
        <v>0</v>
      </c>
      <c r="DD60" t="s">
        <v>3</v>
      </c>
      <c r="DE60" t="s">
        <v>3</v>
      </c>
      <c r="DF60">
        <f t="shared" si="24"/>
        <v>0</v>
      </c>
      <c r="DG60">
        <f t="shared" ref="DG60:DG66" si="25">ROUND(ROUND(AF60,2)*CX60,2)</f>
        <v>0</v>
      </c>
      <c r="DH60">
        <f t="shared" si="0"/>
        <v>0</v>
      </c>
      <c r="DI60">
        <f t="shared" si="5"/>
        <v>0</v>
      </c>
      <c r="DJ60">
        <f>DF60</f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ROW(Source!A71)</f>
        <v>71</v>
      </c>
      <c r="B61">
        <v>65170852</v>
      </c>
      <c r="C61">
        <v>65171107</v>
      </c>
      <c r="D61">
        <v>56584225</v>
      </c>
      <c r="E61">
        <v>1</v>
      </c>
      <c r="F61">
        <v>1</v>
      </c>
      <c r="G61">
        <v>1</v>
      </c>
      <c r="H61">
        <v>3</v>
      </c>
      <c r="I61" t="s">
        <v>527</v>
      </c>
      <c r="J61" t="s">
        <v>528</v>
      </c>
      <c r="K61" t="s">
        <v>529</v>
      </c>
      <c r="L61">
        <v>1339</v>
      </c>
      <c r="N61">
        <v>1007</v>
      </c>
      <c r="O61" t="s">
        <v>129</v>
      </c>
      <c r="P61" t="s">
        <v>129</v>
      </c>
      <c r="Q61">
        <v>1</v>
      </c>
      <c r="W61">
        <v>0</v>
      </c>
      <c r="X61">
        <v>-1043681967</v>
      </c>
      <c r="Y61">
        <f t="shared" si="21"/>
        <v>1.65</v>
      </c>
      <c r="AA61">
        <v>4534.34</v>
      </c>
      <c r="AB61">
        <v>0</v>
      </c>
      <c r="AC61">
        <v>0</v>
      </c>
      <c r="AD61">
        <v>0</v>
      </c>
      <c r="AE61">
        <v>3778.62</v>
      </c>
      <c r="AF61">
        <v>0</v>
      </c>
      <c r="AG61">
        <v>0</v>
      </c>
      <c r="AH61">
        <v>0</v>
      </c>
      <c r="AI61">
        <v>1.2</v>
      </c>
      <c r="AJ61">
        <v>1</v>
      </c>
      <c r="AK61">
        <v>1</v>
      </c>
      <c r="AL61">
        <v>1</v>
      </c>
      <c r="AM61">
        <v>2</v>
      </c>
      <c r="AN61">
        <v>0</v>
      </c>
      <c r="AO61">
        <v>0</v>
      </c>
      <c r="AP61">
        <v>0</v>
      </c>
      <c r="AQ61">
        <v>1</v>
      </c>
      <c r="AR61">
        <v>0</v>
      </c>
      <c r="AS61" t="s">
        <v>3</v>
      </c>
      <c r="AT61">
        <v>1.65</v>
      </c>
      <c r="AU61" t="s">
        <v>3</v>
      </c>
      <c r="AV61">
        <v>0</v>
      </c>
      <c r="AW61">
        <v>2</v>
      </c>
      <c r="AX61">
        <v>65171123</v>
      </c>
      <c r="AY61">
        <v>1</v>
      </c>
      <c r="AZ61">
        <v>0</v>
      </c>
      <c r="BA61">
        <v>59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6234.722999999999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1</v>
      </c>
      <c r="BQ61">
        <v>6234.722999999999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1</v>
      </c>
      <c r="CV61">
        <v>0</v>
      </c>
      <c r="CW61">
        <v>0</v>
      </c>
      <c r="CX61">
        <f>ROUND(Y61*Source!I71,7)</f>
        <v>1.6500000000000001E-2</v>
      </c>
      <c r="CY61">
        <f>AA61</f>
        <v>4534.34</v>
      </c>
      <c r="CZ61">
        <f>AE61</f>
        <v>3778.62</v>
      </c>
      <c r="DA61">
        <f>AI61</f>
        <v>1.2</v>
      </c>
      <c r="DB61">
        <f t="shared" si="22"/>
        <v>6234.72</v>
      </c>
      <c r="DC61">
        <f t="shared" si="23"/>
        <v>0</v>
      </c>
      <c r="DD61" t="s">
        <v>3</v>
      </c>
      <c r="DE61" t="s">
        <v>3</v>
      </c>
      <c r="DF61">
        <f>ROUND(ROUND(AE61*AI61,2)*CX61,2)</f>
        <v>74.819999999999993</v>
      </c>
      <c r="DG61">
        <f t="shared" si="25"/>
        <v>0</v>
      </c>
      <c r="DH61">
        <f t="shared" si="0"/>
        <v>0</v>
      </c>
      <c r="DI61">
        <f t="shared" si="5"/>
        <v>0</v>
      </c>
      <c r="DJ61">
        <f>DF61</f>
        <v>74.819999999999993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ROW(Source!A71)</f>
        <v>71</v>
      </c>
      <c r="B62">
        <v>65170852</v>
      </c>
      <c r="C62">
        <v>65171107</v>
      </c>
      <c r="D62">
        <v>56586216</v>
      </c>
      <c r="E62">
        <v>1</v>
      </c>
      <c r="F62">
        <v>1</v>
      </c>
      <c r="G62">
        <v>1</v>
      </c>
      <c r="H62">
        <v>3</v>
      </c>
      <c r="I62" t="s">
        <v>150</v>
      </c>
      <c r="J62" t="s">
        <v>152</v>
      </c>
      <c r="K62" t="s">
        <v>151</v>
      </c>
      <c r="L62">
        <v>1339</v>
      </c>
      <c r="N62">
        <v>1007</v>
      </c>
      <c r="O62" t="s">
        <v>129</v>
      </c>
      <c r="P62" t="s">
        <v>129</v>
      </c>
      <c r="Q62">
        <v>1</v>
      </c>
      <c r="W62">
        <v>0</v>
      </c>
      <c r="X62">
        <v>-881387468</v>
      </c>
      <c r="Y62">
        <f t="shared" si="21"/>
        <v>27</v>
      </c>
      <c r="AA62">
        <v>22351.1</v>
      </c>
      <c r="AB62">
        <v>0</v>
      </c>
      <c r="AC62">
        <v>0</v>
      </c>
      <c r="AD62">
        <v>0</v>
      </c>
      <c r="AE62">
        <v>14327.63</v>
      </c>
      <c r="AF62">
        <v>0</v>
      </c>
      <c r="AG62">
        <v>0</v>
      </c>
      <c r="AH62">
        <v>0</v>
      </c>
      <c r="AI62">
        <v>1.56</v>
      </c>
      <c r="AJ62">
        <v>1</v>
      </c>
      <c r="AK62">
        <v>1</v>
      </c>
      <c r="AL62">
        <v>1</v>
      </c>
      <c r="AM62">
        <v>2</v>
      </c>
      <c r="AN62">
        <v>0</v>
      </c>
      <c r="AO62">
        <v>0</v>
      </c>
      <c r="AP62">
        <v>0</v>
      </c>
      <c r="AQ62">
        <v>0</v>
      </c>
      <c r="AR62">
        <v>0</v>
      </c>
      <c r="AS62" t="s">
        <v>3</v>
      </c>
      <c r="AT62">
        <v>27</v>
      </c>
      <c r="AU62" t="s">
        <v>3</v>
      </c>
      <c r="AV62">
        <v>0</v>
      </c>
      <c r="AW62">
        <v>1</v>
      </c>
      <c r="AX62">
        <v>-1</v>
      </c>
      <c r="AY62">
        <v>0</v>
      </c>
      <c r="AZ62">
        <v>0</v>
      </c>
      <c r="BA62" t="s">
        <v>3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ROUND(Y62*Source!I71,7)</f>
        <v>0.27</v>
      </c>
      <c r="CY62">
        <f>AA62</f>
        <v>22351.1</v>
      </c>
      <c r="CZ62">
        <f>AE62</f>
        <v>14327.63</v>
      </c>
      <c r="DA62">
        <f>AI62</f>
        <v>1.56</v>
      </c>
      <c r="DB62">
        <f t="shared" si="22"/>
        <v>386846.01</v>
      </c>
      <c r="DC62">
        <f t="shared" si="23"/>
        <v>0</v>
      </c>
      <c r="DD62" t="s">
        <v>3</v>
      </c>
      <c r="DE62" t="s">
        <v>3</v>
      </c>
      <c r="DF62">
        <f>ROUND(ROUND(AE62*AI62,2)*CX62,2)</f>
        <v>6034.8</v>
      </c>
      <c r="DG62">
        <f t="shared" si="25"/>
        <v>0</v>
      </c>
      <c r="DH62">
        <f t="shared" si="0"/>
        <v>0</v>
      </c>
      <c r="DI62">
        <f t="shared" si="5"/>
        <v>0</v>
      </c>
      <c r="DJ62">
        <f>DF62</f>
        <v>6034.8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ROW(Source!A71)</f>
        <v>71</v>
      </c>
      <c r="B63">
        <v>65170852</v>
      </c>
      <c r="C63">
        <v>65171107</v>
      </c>
      <c r="D63">
        <v>56219261</v>
      </c>
      <c r="E63">
        <v>108</v>
      </c>
      <c r="F63">
        <v>1</v>
      </c>
      <c r="G63">
        <v>1</v>
      </c>
      <c r="H63">
        <v>3</v>
      </c>
      <c r="I63" t="s">
        <v>530</v>
      </c>
      <c r="J63" t="s">
        <v>3</v>
      </c>
      <c r="K63" t="s">
        <v>531</v>
      </c>
      <c r="L63">
        <v>1371</v>
      </c>
      <c r="N63">
        <v>1013</v>
      </c>
      <c r="O63" t="s">
        <v>220</v>
      </c>
      <c r="P63" t="s">
        <v>220</v>
      </c>
      <c r="Q63">
        <v>1</v>
      </c>
      <c r="W63">
        <v>0</v>
      </c>
      <c r="X63">
        <v>1757280489</v>
      </c>
      <c r="Y63">
        <f t="shared" si="21"/>
        <v>100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0</v>
      </c>
      <c r="AQ63">
        <v>1</v>
      </c>
      <c r="AR63">
        <v>0</v>
      </c>
      <c r="AS63" t="s">
        <v>3</v>
      </c>
      <c r="AT63">
        <v>100</v>
      </c>
      <c r="AU63" t="s">
        <v>3</v>
      </c>
      <c r="AV63">
        <v>0</v>
      </c>
      <c r="AW63">
        <v>2</v>
      </c>
      <c r="AX63">
        <v>65171124</v>
      </c>
      <c r="AY63">
        <v>1</v>
      </c>
      <c r="AZ63">
        <v>0</v>
      </c>
      <c r="BA63">
        <v>60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ROUND(Y63*Source!I71,7)</f>
        <v>1</v>
      </c>
      <c r="CY63">
        <f>AA63</f>
        <v>0</v>
      </c>
      <c r="CZ63">
        <f>AE63</f>
        <v>0</v>
      </c>
      <c r="DA63">
        <f>AI63</f>
        <v>1</v>
      </c>
      <c r="DB63">
        <f t="shared" si="22"/>
        <v>0</v>
      </c>
      <c r="DC63">
        <f t="shared" si="23"/>
        <v>0</v>
      </c>
      <c r="DD63" t="s">
        <v>3</v>
      </c>
      <c r="DE63" t="s">
        <v>3</v>
      </c>
      <c r="DF63">
        <f t="shared" ref="DF63:DF69" si="26">ROUND(ROUND(AE63,2)*CX63,2)</f>
        <v>0</v>
      </c>
      <c r="DG63">
        <f t="shared" si="25"/>
        <v>0</v>
      </c>
      <c r="DH63">
        <f t="shared" si="0"/>
        <v>0</v>
      </c>
      <c r="DI63">
        <f t="shared" si="5"/>
        <v>0</v>
      </c>
      <c r="DJ63">
        <f>DF63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ROW(Source!A73)</f>
        <v>73</v>
      </c>
      <c r="B64">
        <v>65170852</v>
      </c>
      <c r="C64">
        <v>65171126</v>
      </c>
      <c r="D64">
        <v>37070090</v>
      </c>
      <c r="E64">
        <v>108</v>
      </c>
      <c r="F64">
        <v>1</v>
      </c>
      <c r="G64">
        <v>1</v>
      </c>
      <c r="H64">
        <v>1</v>
      </c>
      <c r="I64" t="s">
        <v>532</v>
      </c>
      <c r="J64" t="s">
        <v>3</v>
      </c>
      <c r="K64" t="s">
        <v>533</v>
      </c>
      <c r="L64">
        <v>1191</v>
      </c>
      <c r="N64">
        <v>1013</v>
      </c>
      <c r="O64" t="s">
        <v>509</v>
      </c>
      <c r="P64" t="s">
        <v>509</v>
      </c>
      <c r="Q64">
        <v>1</v>
      </c>
      <c r="W64">
        <v>0</v>
      </c>
      <c r="X64">
        <v>-112797078</v>
      </c>
      <c r="Y64">
        <f t="shared" si="21"/>
        <v>93.7</v>
      </c>
      <c r="AA64">
        <v>0</v>
      </c>
      <c r="AB64">
        <v>0</v>
      </c>
      <c r="AC64">
        <v>0</v>
      </c>
      <c r="AD64">
        <v>457.6</v>
      </c>
      <c r="AE64">
        <v>0</v>
      </c>
      <c r="AF64">
        <v>0</v>
      </c>
      <c r="AG64">
        <v>0</v>
      </c>
      <c r="AH64">
        <v>457.6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93.7</v>
      </c>
      <c r="AU64" t="s">
        <v>3</v>
      </c>
      <c r="AV64">
        <v>1</v>
      </c>
      <c r="AW64">
        <v>2</v>
      </c>
      <c r="AX64">
        <v>65171136</v>
      </c>
      <c r="AY64">
        <v>1</v>
      </c>
      <c r="AZ64">
        <v>0</v>
      </c>
      <c r="BA64">
        <v>61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42877.120000000003</v>
      </c>
      <c r="BN64">
        <v>93.7</v>
      </c>
      <c r="BO64">
        <v>0</v>
      </c>
      <c r="BP64">
        <v>1</v>
      </c>
      <c r="BQ64">
        <v>0</v>
      </c>
      <c r="BR64">
        <v>0</v>
      </c>
      <c r="BS64">
        <v>0</v>
      </c>
      <c r="BT64">
        <v>42877.120000000003</v>
      </c>
      <c r="BU64">
        <v>93.7</v>
      </c>
      <c r="BV64">
        <v>0</v>
      </c>
      <c r="BW64">
        <v>1</v>
      </c>
      <c r="CU64">
        <f>ROUND(AT64*Source!I73*AH64*AL64,2)</f>
        <v>1286.31</v>
      </c>
      <c r="CV64">
        <f>ROUND(Y64*Source!I73,7)</f>
        <v>2.8109999999999999</v>
      </c>
      <c r="CW64">
        <v>0</v>
      </c>
      <c r="CX64">
        <f>ROUND(Y64*Source!I73,7)</f>
        <v>2.8109999999999999</v>
      </c>
      <c r="CY64">
        <f>AD64</f>
        <v>457.6</v>
      </c>
      <c r="CZ64">
        <f>AH64</f>
        <v>457.6</v>
      </c>
      <c r="DA64">
        <f>AL64</f>
        <v>1</v>
      </c>
      <c r="DB64">
        <f t="shared" si="22"/>
        <v>42877.120000000003</v>
      </c>
      <c r="DC64">
        <f t="shared" si="23"/>
        <v>0</v>
      </c>
      <c r="DD64" t="s">
        <v>3</v>
      </c>
      <c r="DE64" t="s">
        <v>3</v>
      </c>
      <c r="DF64">
        <f t="shared" si="26"/>
        <v>0</v>
      </c>
      <c r="DG64">
        <f t="shared" si="25"/>
        <v>0</v>
      </c>
      <c r="DH64">
        <f t="shared" si="0"/>
        <v>0</v>
      </c>
      <c r="DI64">
        <f t="shared" si="5"/>
        <v>1286.31</v>
      </c>
      <c r="DJ64">
        <f>DI64</f>
        <v>1286.31</v>
      </c>
      <c r="DK64">
        <v>1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ROW(Source!A73)</f>
        <v>73</v>
      </c>
      <c r="B65">
        <v>65170852</v>
      </c>
      <c r="C65">
        <v>65171126</v>
      </c>
      <c r="D65">
        <v>37064876</v>
      </c>
      <c r="E65">
        <v>108</v>
      </c>
      <c r="F65">
        <v>1</v>
      </c>
      <c r="G65">
        <v>1</v>
      </c>
      <c r="H65">
        <v>1</v>
      </c>
      <c r="I65" t="s">
        <v>510</v>
      </c>
      <c r="J65" t="s">
        <v>3</v>
      </c>
      <c r="K65" t="s">
        <v>511</v>
      </c>
      <c r="L65">
        <v>1191</v>
      </c>
      <c r="N65">
        <v>1013</v>
      </c>
      <c r="O65" t="s">
        <v>509</v>
      </c>
      <c r="P65" t="s">
        <v>509</v>
      </c>
      <c r="Q65">
        <v>1</v>
      </c>
      <c r="W65">
        <v>0</v>
      </c>
      <c r="X65">
        <v>-1417349443</v>
      </c>
      <c r="Y65">
        <f t="shared" si="21"/>
        <v>43.06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3</v>
      </c>
      <c r="AT65">
        <v>43.06</v>
      </c>
      <c r="AU65" t="s">
        <v>3</v>
      </c>
      <c r="AV65">
        <v>2</v>
      </c>
      <c r="AW65">
        <v>2</v>
      </c>
      <c r="AX65">
        <v>65171137</v>
      </c>
      <c r="AY65">
        <v>1</v>
      </c>
      <c r="AZ65">
        <v>0</v>
      </c>
      <c r="BA65">
        <v>62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ROUND(Y65*Source!I73,7)</f>
        <v>1.2918000000000001</v>
      </c>
      <c r="CY65">
        <f>AD65</f>
        <v>0</v>
      </c>
      <c r="CZ65">
        <f>AH65</f>
        <v>0</v>
      </c>
      <c r="DA65">
        <f>AL65</f>
        <v>1</v>
      </c>
      <c r="DB65">
        <f t="shared" si="22"/>
        <v>0</v>
      </c>
      <c r="DC65">
        <f t="shared" si="23"/>
        <v>0</v>
      </c>
      <c r="DD65" t="s">
        <v>3</v>
      </c>
      <c r="DE65" t="s">
        <v>3</v>
      </c>
      <c r="DF65">
        <f t="shared" si="26"/>
        <v>0</v>
      </c>
      <c r="DG65">
        <f t="shared" si="25"/>
        <v>0</v>
      </c>
      <c r="DH65">
        <f t="shared" ref="DH65:DH128" si="27">ROUND(ROUND(AG65,2)*CX65,2)</f>
        <v>0</v>
      </c>
      <c r="DI65">
        <f t="shared" si="5"/>
        <v>0</v>
      </c>
      <c r="DJ65">
        <f>DI65</f>
        <v>0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ROW(Source!A73)</f>
        <v>73</v>
      </c>
      <c r="B66">
        <v>65170852</v>
      </c>
      <c r="C66">
        <v>65171126</v>
      </c>
      <c r="D66">
        <v>56571417</v>
      </c>
      <c r="E66">
        <v>1</v>
      </c>
      <c r="F66">
        <v>1</v>
      </c>
      <c r="G66">
        <v>1</v>
      </c>
      <c r="H66">
        <v>2</v>
      </c>
      <c r="I66" t="s">
        <v>512</v>
      </c>
      <c r="J66" t="s">
        <v>513</v>
      </c>
      <c r="K66" t="s">
        <v>514</v>
      </c>
      <c r="L66">
        <v>1368</v>
      </c>
      <c r="N66">
        <v>1011</v>
      </c>
      <c r="O66" t="s">
        <v>515</v>
      </c>
      <c r="P66" t="s">
        <v>515</v>
      </c>
      <c r="Q66">
        <v>1</v>
      </c>
      <c r="W66">
        <v>0</v>
      </c>
      <c r="X66">
        <v>-848025172</v>
      </c>
      <c r="Y66">
        <f t="shared" si="21"/>
        <v>6.65</v>
      </c>
      <c r="AA66">
        <v>0</v>
      </c>
      <c r="AB66">
        <v>1551.19</v>
      </c>
      <c r="AC66">
        <v>658.94</v>
      </c>
      <c r="AD66">
        <v>0</v>
      </c>
      <c r="AE66">
        <v>0</v>
      </c>
      <c r="AF66">
        <v>1551.19</v>
      </c>
      <c r="AG66">
        <v>658.94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0</v>
      </c>
      <c r="AP66">
        <v>1</v>
      </c>
      <c r="AQ66">
        <v>1</v>
      </c>
      <c r="AR66">
        <v>0</v>
      </c>
      <c r="AS66" t="s">
        <v>3</v>
      </c>
      <c r="AT66">
        <v>6.65</v>
      </c>
      <c r="AU66" t="s">
        <v>3</v>
      </c>
      <c r="AV66">
        <v>1</v>
      </c>
      <c r="AW66">
        <v>2</v>
      </c>
      <c r="AX66">
        <v>65171138</v>
      </c>
      <c r="AY66">
        <v>1</v>
      </c>
      <c r="AZ66">
        <v>0</v>
      </c>
      <c r="BA66">
        <v>63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10315.413500000001</v>
      </c>
      <c r="BL66">
        <v>4381.9510000000009</v>
      </c>
      <c r="BM66">
        <v>0</v>
      </c>
      <c r="BN66">
        <v>0</v>
      </c>
      <c r="BO66">
        <v>6.65</v>
      </c>
      <c r="BP66">
        <v>1</v>
      </c>
      <c r="BQ66">
        <v>0</v>
      </c>
      <c r="BR66">
        <v>10315.413500000001</v>
      </c>
      <c r="BS66">
        <v>4381.9510000000009</v>
      </c>
      <c r="BT66">
        <v>0</v>
      </c>
      <c r="BU66">
        <v>0</v>
      </c>
      <c r="BV66">
        <v>6.65</v>
      </c>
      <c r="BW66">
        <v>1</v>
      </c>
      <c r="CV66">
        <v>0</v>
      </c>
      <c r="CW66">
        <f>ROUND(Y66*Source!I73*DO66,7)</f>
        <v>0.19950000000000001</v>
      </c>
      <c r="CX66">
        <f>ROUND(Y66*Source!I73,7)</f>
        <v>0.19950000000000001</v>
      </c>
      <c r="CY66">
        <f>AB66</f>
        <v>1551.19</v>
      </c>
      <c r="CZ66">
        <f>AF66</f>
        <v>1551.19</v>
      </c>
      <c r="DA66">
        <f>AJ66</f>
        <v>1</v>
      </c>
      <c r="DB66">
        <f t="shared" si="22"/>
        <v>10315.41</v>
      </c>
      <c r="DC66">
        <f t="shared" si="23"/>
        <v>4381.95</v>
      </c>
      <c r="DD66" t="s">
        <v>3</v>
      </c>
      <c r="DE66" t="s">
        <v>3</v>
      </c>
      <c r="DF66">
        <f t="shared" si="26"/>
        <v>0</v>
      </c>
      <c r="DG66">
        <f t="shared" si="25"/>
        <v>309.45999999999998</v>
      </c>
      <c r="DH66">
        <f t="shared" si="27"/>
        <v>131.46</v>
      </c>
      <c r="DI66">
        <f t="shared" si="5"/>
        <v>0</v>
      </c>
      <c r="DJ66">
        <f>DG66+DH66</f>
        <v>440.91999999999996</v>
      </c>
      <c r="DK66">
        <v>1</v>
      </c>
      <c r="DL66" t="s">
        <v>516</v>
      </c>
      <c r="DM66">
        <v>6</v>
      </c>
      <c r="DN66" t="s">
        <v>509</v>
      </c>
      <c r="DO66">
        <v>1</v>
      </c>
    </row>
    <row r="67" spans="1:119" x14ac:dyDescent="0.2">
      <c r="A67">
        <f>ROW(Source!A73)</f>
        <v>73</v>
      </c>
      <c r="B67">
        <v>65170852</v>
      </c>
      <c r="C67">
        <v>65171126</v>
      </c>
      <c r="D67">
        <v>56571433</v>
      </c>
      <c r="E67">
        <v>1</v>
      </c>
      <c r="F67">
        <v>1</v>
      </c>
      <c r="G67">
        <v>1</v>
      </c>
      <c r="H67">
        <v>2</v>
      </c>
      <c r="I67" t="s">
        <v>517</v>
      </c>
      <c r="J67" t="s">
        <v>518</v>
      </c>
      <c r="K67" t="s">
        <v>519</v>
      </c>
      <c r="L67">
        <v>1368</v>
      </c>
      <c r="N67">
        <v>1011</v>
      </c>
      <c r="O67" t="s">
        <v>515</v>
      </c>
      <c r="P67" t="s">
        <v>515</v>
      </c>
      <c r="Q67">
        <v>1</v>
      </c>
      <c r="W67">
        <v>0</v>
      </c>
      <c r="X67">
        <v>-1087419069</v>
      </c>
      <c r="Y67">
        <f t="shared" si="21"/>
        <v>26.7</v>
      </c>
      <c r="AA67">
        <v>0</v>
      </c>
      <c r="AB67">
        <v>2180.2199999999998</v>
      </c>
      <c r="AC67">
        <v>658.94</v>
      </c>
      <c r="AD67">
        <v>0</v>
      </c>
      <c r="AE67">
        <v>0</v>
      </c>
      <c r="AF67">
        <v>1703.3</v>
      </c>
      <c r="AG67">
        <v>658.94</v>
      </c>
      <c r="AH67">
        <v>0</v>
      </c>
      <c r="AI67">
        <v>1</v>
      </c>
      <c r="AJ67">
        <v>1.28</v>
      </c>
      <c r="AK67">
        <v>1</v>
      </c>
      <c r="AL67">
        <v>1</v>
      </c>
      <c r="AM67">
        <v>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3</v>
      </c>
      <c r="AT67">
        <v>26.7</v>
      </c>
      <c r="AU67" t="s">
        <v>3</v>
      </c>
      <c r="AV67">
        <v>1</v>
      </c>
      <c r="AW67">
        <v>2</v>
      </c>
      <c r="AX67">
        <v>65171139</v>
      </c>
      <c r="AY67">
        <v>1</v>
      </c>
      <c r="AZ67">
        <v>0</v>
      </c>
      <c r="BA67">
        <v>64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45478.11</v>
      </c>
      <c r="BL67">
        <v>17593.698</v>
      </c>
      <c r="BM67">
        <v>0</v>
      </c>
      <c r="BN67">
        <v>0</v>
      </c>
      <c r="BO67">
        <v>26.7</v>
      </c>
      <c r="BP67">
        <v>1</v>
      </c>
      <c r="BQ67">
        <v>0</v>
      </c>
      <c r="BR67">
        <v>45478.11</v>
      </c>
      <c r="BS67">
        <v>17593.698</v>
      </c>
      <c r="BT67">
        <v>0</v>
      </c>
      <c r="BU67">
        <v>0</v>
      </c>
      <c r="BV67">
        <v>26.7</v>
      </c>
      <c r="BW67">
        <v>1</v>
      </c>
      <c r="CV67">
        <v>0</v>
      </c>
      <c r="CW67">
        <f>ROUND(Y67*Source!I73*DO67,7)</f>
        <v>0.80100000000000005</v>
      </c>
      <c r="CX67">
        <f>ROUND(Y67*Source!I73,7)</f>
        <v>0.80100000000000005</v>
      </c>
      <c r="CY67">
        <f>AB67</f>
        <v>2180.2199999999998</v>
      </c>
      <c r="CZ67">
        <f>AF67</f>
        <v>1703.3</v>
      </c>
      <c r="DA67">
        <f>AJ67</f>
        <v>1.28</v>
      </c>
      <c r="DB67">
        <f t="shared" si="22"/>
        <v>45478.11</v>
      </c>
      <c r="DC67">
        <f t="shared" si="23"/>
        <v>17593.7</v>
      </c>
      <c r="DD67" t="s">
        <v>3</v>
      </c>
      <c r="DE67" t="s">
        <v>3</v>
      </c>
      <c r="DF67">
        <f t="shared" si="26"/>
        <v>0</v>
      </c>
      <c r="DG67">
        <f>ROUND(ROUND(AF67*AJ67,2)*CX67,2)</f>
        <v>1746.36</v>
      </c>
      <c r="DH67">
        <f t="shared" si="27"/>
        <v>527.80999999999995</v>
      </c>
      <c r="DI67">
        <f t="shared" si="5"/>
        <v>0</v>
      </c>
      <c r="DJ67">
        <f>DG67+DH67</f>
        <v>2274.17</v>
      </c>
      <c r="DK67">
        <v>0</v>
      </c>
      <c r="DL67" t="s">
        <v>516</v>
      </c>
      <c r="DM67">
        <v>6</v>
      </c>
      <c r="DN67" t="s">
        <v>509</v>
      </c>
      <c r="DO67">
        <v>1</v>
      </c>
    </row>
    <row r="68" spans="1:119" x14ac:dyDescent="0.2">
      <c r="A68">
        <f>ROW(Source!A73)</f>
        <v>73</v>
      </c>
      <c r="B68">
        <v>65170852</v>
      </c>
      <c r="C68">
        <v>65171126</v>
      </c>
      <c r="D68">
        <v>56572833</v>
      </c>
      <c r="E68">
        <v>1</v>
      </c>
      <c r="F68">
        <v>1</v>
      </c>
      <c r="G68">
        <v>1</v>
      </c>
      <c r="H68">
        <v>2</v>
      </c>
      <c r="I68" t="s">
        <v>520</v>
      </c>
      <c r="J68" t="s">
        <v>521</v>
      </c>
      <c r="K68" t="s">
        <v>522</v>
      </c>
      <c r="L68">
        <v>1368</v>
      </c>
      <c r="N68">
        <v>1011</v>
      </c>
      <c r="O68" t="s">
        <v>515</v>
      </c>
      <c r="P68" t="s">
        <v>515</v>
      </c>
      <c r="Q68">
        <v>1</v>
      </c>
      <c r="W68">
        <v>0</v>
      </c>
      <c r="X68">
        <v>1230426758</v>
      </c>
      <c r="Y68">
        <f t="shared" si="21"/>
        <v>9.7100000000000009</v>
      </c>
      <c r="AA68">
        <v>0</v>
      </c>
      <c r="AB68">
        <v>578.28</v>
      </c>
      <c r="AC68">
        <v>490.55</v>
      </c>
      <c r="AD68">
        <v>0</v>
      </c>
      <c r="AE68">
        <v>0</v>
      </c>
      <c r="AF68">
        <v>477.92</v>
      </c>
      <c r="AG68">
        <v>490.55</v>
      </c>
      <c r="AH68">
        <v>0</v>
      </c>
      <c r="AI68">
        <v>1</v>
      </c>
      <c r="AJ68">
        <v>1.21</v>
      </c>
      <c r="AK68">
        <v>1</v>
      </c>
      <c r="AL68">
        <v>1</v>
      </c>
      <c r="AM68">
        <v>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9.7100000000000009</v>
      </c>
      <c r="AU68" t="s">
        <v>3</v>
      </c>
      <c r="AV68">
        <v>1</v>
      </c>
      <c r="AW68">
        <v>2</v>
      </c>
      <c r="AX68">
        <v>65171140</v>
      </c>
      <c r="AY68">
        <v>1</v>
      </c>
      <c r="AZ68">
        <v>0</v>
      </c>
      <c r="BA68">
        <v>65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4640.6032000000005</v>
      </c>
      <c r="BL68">
        <v>4763.2405000000008</v>
      </c>
      <c r="BM68">
        <v>0</v>
      </c>
      <c r="BN68">
        <v>0</v>
      </c>
      <c r="BO68">
        <v>9.7100000000000009</v>
      </c>
      <c r="BP68">
        <v>1</v>
      </c>
      <c r="BQ68">
        <v>0</v>
      </c>
      <c r="BR68">
        <v>4640.6032000000005</v>
      </c>
      <c r="BS68">
        <v>4763.2405000000008</v>
      </c>
      <c r="BT68">
        <v>0</v>
      </c>
      <c r="BU68">
        <v>0</v>
      </c>
      <c r="BV68">
        <v>9.7100000000000009</v>
      </c>
      <c r="BW68">
        <v>1</v>
      </c>
      <c r="CV68">
        <v>0</v>
      </c>
      <c r="CW68">
        <f>ROUND(Y68*Source!I73*DO68,7)</f>
        <v>0.2913</v>
      </c>
      <c r="CX68">
        <f>ROUND(Y68*Source!I73,7)</f>
        <v>0.2913</v>
      </c>
      <c r="CY68">
        <f>AB68</f>
        <v>578.28</v>
      </c>
      <c r="CZ68">
        <f>AF68</f>
        <v>477.92</v>
      </c>
      <c r="DA68">
        <f>AJ68</f>
        <v>1.21</v>
      </c>
      <c r="DB68">
        <f t="shared" si="22"/>
        <v>4640.6000000000004</v>
      </c>
      <c r="DC68">
        <f t="shared" si="23"/>
        <v>4763.24</v>
      </c>
      <c r="DD68" t="s">
        <v>3</v>
      </c>
      <c r="DE68" t="s">
        <v>3</v>
      </c>
      <c r="DF68">
        <f t="shared" si="26"/>
        <v>0</v>
      </c>
      <c r="DG68">
        <f>ROUND(ROUND(AF68*AJ68,2)*CX68,2)</f>
        <v>168.45</v>
      </c>
      <c r="DH68">
        <f t="shared" si="27"/>
        <v>142.9</v>
      </c>
      <c r="DI68">
        <f t="shared" si="5"/>
        <v>0</v>
      </c>
      <c r="DJ68">
        <f>DG68+DH68</f>
        <v>311.35000000000002</v>
      </c>
      <c r="DK68">
        <v>0</v>
      </c>
      <c r="DL68" t="s">
        <v>523</v>
      </c>
      <c r="DM68">
        <v>4</v>
      </c>
      <c r="DN68" t="s">
        <v>509</v>
      </c>
      <c r="DO68">
        <v>1</v>
      </c>
    </row>
    <row r="69" spans="1:119" x14ac:dyDescent="0.2">
      <c r="A69">
        <f>ROW(Source!A73)</f>
        <v>73</v>
      </c>
      <c r="B69">
        <v>65170852</v>
      </c>
      <c r="C69">
        <v>65171126</v>
      </c>
      <c r="D69">
        <v>56218682</v>
      </c>
      <c r="E69">
        <v>108</v>
      </c>
      <c r="F69">
        <v>1</v>
      </c>
      <c r="G69">
        <v>1</v>
      </c>
      <c r="H69">
        <v>3</v>
      </c>
      <c r="I69" t="s">
        <v>524</v>
      </c>
      <c r="J69" t="s">
        <v>3</v>
      </c>
      <c r="K69" t="s">
        <v>525</v>
      </c>
      <c r="L69">
        <v>1339</v>
      </c>
      <c r="N69">
        <v>1007</v>
      </c>
      <c r="O69" t="s">
        <v>129</v>
      </c>
      <c r="P69" t="s">
        <v>129</v>
      </c>
      <c r="Q69">
        <v>1</v>
      </c>
      <c r="W69">
        <v>0</v>
      </c>
      <c r="X69">
        <v>-157982121</v>
      </c>
      <c r="Y69">
        <f t="shared" si="21"/>
        <v>0.47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0</v>
      </c>
      <c r="AP69">
        <v>0</v>
      </c>
      <c r="AQ69">
        <v>1</v>
      </c>
      <c r="AR69">
        <v>0</v>
      </c>
      <c r="AS69" t="s">
        <v>3</v>
      </c>
      <c r="AT69">
        <v>0.47</v>
      </c>
      <c r="AU69" t="s">
        <v>3</v>
      </c>
      <c r="AV69">
        <v>0</v>
      </c>
      <c r="AW69">
        <v>2</v>
      </c>
      <c r="AX69">
        <v>65171141</v>
      </c>
      <c r="AY69">
        <v>1</v>
      </c>
      <c r="AZ69">
        <v>0</v>
      </c>
      <c r="BA69">
        <v>66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ROUND(Y69*Source!I73,7)</f>
        <v>1.41E-2</v>
      </c>
      <c r="CY69">
        <f>AA69</f>
        <v>0</v>
      </c>
      <c r="CZ69">
        <f>AE69</f>
        <v>0</v>
      </c>
      <c r="DA69">
        <f>AI69</f>
        <v>1</v>
      </c>
      <c r="DB69">
        <f t="shared" si="22"/>
        <v>0</v>
      </c>
      <c r="DC69">
        <f t="shared" si="23"/>
        <v>0</v>
      </c>
      <c r="DD69" t="s">
        <v>3</v>
      </c>
      <c r="DE69" t="s">
        <v>3</v>
      </c>
      <c r="DF69">
        <f t="shared" si="26"/>
        <v>0</v>
      </c>
      <c r="DG69">
        <f t="shared" ref="DG69:DG74" si="28">ROUND(ROUND(AF69,2)*CX69,2)</f>
        <v>0</v>
      </c>
      <c r="DH69">
        <f t="shared" si="27"/>
        <v>0</v>
      </c>
      <c r="DI69">
        <f t="shared" si="5"/>
        <v>0</v>
      </c>
      <c r="DJ69">
        <f>DF69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ROW(Source!A73)</f>
        <v>73</v>
      </c>
      <c r="B70">
        <v>65170852</v>
      </c>
      <c r="C70">
        <v>65171126</v>
      </c>
      <c r="D70">
        <v>56584225</v>
      </c>
      <c r="E70">
        <v>1</v>
      </c>
      <c r="F70">
        <v>1</v>
      </c>
      <c r="G70">
        <v>1</v>
      </c>
      <c r="H70">
        <v>3</v>
      </c>
      <c r="I70" t="s">
        <v>527</v>
      </c>
      <c r="J70" t="s">
        <v>528</v>
      </c>
      <c r="K70" t="s">
        <v>529</v>
      </c>
      <c r="L70">
        <v>1339</v>
      </c>
      <c r="N70">
        <v>1007</v>
      </c>
      <c r="O70" t="s">
        <v>129</v>
      </c>
      <c r="P70" t="s">
        <v>129</v>
      </c>
      <c r="Q70">
        <v>1</v>
      </c>
      <c r="W70">
        <v>0</v>
      </c>
      <c r="X70">
        <v>-1043681967</v>
      </c>
      <c r="Y70">
        <f t="shared" si="21"/>
        <v>2.95</v>
      </c>
      <c r="AA70">
        <v>4534.34</v>
      </c>
      <c r="AB70">
        <v>0</v>
      </c>
      <c r="AC70">
        <v>0</v>
      </c>
      <c r="AD70">
        <v>0</v>
      </c>
      <c r="AE70">
        <v>3778.62</v>
      </c>
      <c r="AF70">
        <v>0</v>
      </c>
      <c r="AG70">
        <v>0</v>
      </c>
      <c r="AH70">
        <v>0</v>
      </c>
      <c r="AI70">
        <v>1.2</v>
      </c>
      <c r="AJ70">
        <v>1</v>
      </c>
      <c r="AK70">
        <v>1</v>
      </c>
      <c r="AL70">
        <v>1</v>
      </c>
      <c r="AM70">
        <v>2</v>
      </c>
      <c r="AN70">
        <v>0</v>
      </c>
      <c r="AO70">
        <v>0</v>
      </c>
      <c r="AP70">
        <v>0</v>
      </c>
      <c r="AQ70">
        <v>1</v>
      </c>
      <c r="AR70">
        <v>0</v>
      </c>
      <c r="AS70" t="s">
        <v>3</v>
      </c>
      <c r="AT70">
        <v>2.95</v>
      </c>
      <c r="AU70" t="s">
        <v>3</v>
      </c>
      <c r="AV70">
        <v>0</v>
      </c>
      <c r="AW70">
        <v>2</v>
      </c>
      <c r="AX70">
        <v>65171142</v>
      </c>
      <c r="AY70">
        <v>1</v>
      </c>
      <c r="AZ70">
        <v>0</v>
      </c>
      <c r="BA70">
        <v>67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11146.929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11146.929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1</v>
      </c>
      <c r="CV70">
        <v>0</v>
      </c>
      <c r="CW70">
        <v>0</v>
      </c>
      <c r="CX70">
        <f>ROUND(Y70*Source!I73,7)</f>
        <v>8.8499999999999995E-2</v>
      </c>
      <c r="CY70">
        <f>AA70</f>
        <v>4534.34</v>
      </c>
      <c r="CZ70">
        <f>AE70</f>
        <v>3778.62</v>
      </c>
      <c r="DA70">
        <f>AI70</f>
        <v>1.2</v>
      </c>
      <c r="DB70">
        <f t="shared" si="22"/>
        <v>11146.93</v>
      </c>
      <c r="DC70">
        <f t="shared" si="23"/>
        <v>0</v>
      </c>
      <c r="DD70" t="s">
        <v>3</v>
      </c>
      <c r="DE70" t="s">
        <v>3</v>
      </c>
      <c r="DF70">
        <f>ROUND(ROUND(AE70*AI70,2)*CX70,2)</f>
        <v>401.29</v>
      </c>
      <c r="DG70">
        <f t="shared" si="28"/>
        <v>0</v>
      </c>
      <c r="DH70">
        <f t="shared" si="27"/>
        <v>0</v>
      </c>
      <c r="DI70">
        <f t="shared" si="5"/>
        <v>0</v>
      </c>
      <c r="DJ70">
        <f>DF70</f>
        <v>401.29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ROW(Source!A73)</f>
        <v>73</v>
      </c>
      <c r="B71">
        <v>65170852</v>
      </c>
      <c r="C71">
        <v>65171126</v>
      </c>
      <c r="D71">
        <v>56586216</v>
      </c>
      <c r="E71">
        <v>1</v>
      </c>
      <c r="F71">
        <v>1</v>
      </c>
      <c r="G71">
        <v>1</v>
      </c>
      <c r="H71">
        <v>3</v>
      </c>
      <c r="I71" t="s">
        <v>150</v>
      </c>
      <c r="J71" t="s">
        <v>152</v>
      </c>
      <c r="K71" t="s">
        <v>156</v>
      </c>
      <c r="L71">
        <v>1339</v>
      </c>
      <c r="N71">
        <v>1007</v>
      </c>
      <c r="O71" t="s">
        <v>129</v>
      </c>
      <c r="P71" t="s">
        <v>129</v>
      </c>
      <c r="Q71">
        <v>1</v>
      </c>
      <c r="W71">
        <v>0</v>
      </c>
      <c r="X71">
        <v>-1633002528</v>
      </c>
      <c r="Y71">
        <f t="shared" si="21"/>
        <v>54.3</v>
      </c>
      <c r="AA71">
        <v>22351.1</v>
      </c>
      <c r="AB71">
        <v>0</v>
      </c>
      <c r="AC71">
        <v>0</v>
      </c>
      <c r="AD71">
        <v>0</v>
      </c>
      <c r="AE71">
        <v>14327.63</v>
      </c>
      <c r="AF71">
        <v>0</v>
      </c>
      <c r="AG71">
        <v>0</v>
      </c>
      <c r="AH71">
        <v>0</v>
      </c>
      <c r="AI71">
        <v>1.56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0</v>
      </c>
      <c r="AQ71">
        <v>0</v>
      </c>
      <c r="AR71">
        <v>0</v>
      </c>
      <c r="AS71" t="s">
        <v>3</v>
      </c>
      <c r="AT71">
        <v>54.3</v>
      </c>
      <c r="AU71" t="s">
        <v>3</v>
      </c>
      <c r="AV71">
        <v>0</v>
      </c>
      <c r="AW71">
        <v>1</v>
      </c>
      <c r="AX71">
        <v>-1</v>
      </c>
      <c r="AY71">
        <v>0</v>
      </c>
      <c r="AZ71">
        <v>0</v>
      </c>
      <c r="BA71" t="s">
        <v>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ROUND(Y71*Source!I73,7)</f>
        <v>1.629</v>
      </c>
      <c r="CY71">
        <f>AA71</f>
        <v>22351.1</v>
      </c>
      <c r="CZ71">
        <f>AE71</f>
        <v>14327.63</v>
      </c>
      <c r="DA71">
        <f>AI71</f>
        <v>1.56</v>
      </c>
      <c r="DB71">
        <f t="shared" si="22"/>
        <v>777990.31</v>
      </c>
      <c r="DC71">
        <f t="shared" si="23"/>
        <v>0</v>
      </c>
      <c r="DD71" t="s">
        <v>3</v>
      </c>
      <c r="DE71" t="s">
        <v>3</v>
      </c>
      <c r="DF71">
        <f>ROUND(ROUND(AE71*AI71,2)*CX71,2)</f>
        <v>36409.94</v>
      </c>
      <c r="DG71">
        <f t="shared" si="28"/>
        <v>0</v>
      </c>
      <c r="DH71">
        <f t="shared" si="27"/>
        <v>0</v>
      </c>
      <c r="DI71">
        <f t="shared" si="5"/>
        <v>0</v>
      </c>
      <c r="DJ71">
        <f>DF71</f>
        <v>36409.94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ROW(Source!A73)</f>
        <v>73</v>
      </c>
      <c r="B72">
        <v>65170852</v>
      </c>
      <c r="C72">
        <v>65171126</v>
      </c>
      <c r="D72">
        <v>56219261</v>
      </c>
      <c r="E72">
        <v>108</v>
      </c>
      <c r="F72">
        <v>1</v>
      </c>
      <c r="G72">
        <v>1</v>
      </c>
      <c r="H72">
        <v>3</v>
      </c>
      <c r="I72" t="s">
        <v>530</v>
      </c>
      <c r="J72" t="s">
        <v>3</v>
      </c>
      <c r="K72" t="s">
        <v>531</v>
      </c>
      <c r="L72">
        <v>1371</v>
      </c>
      <c r="N72">
        <v>1013</v>
      </c>
      <c r="O72" t="s">
        <v>220</v>
      </c>
      <c r="P72" t="s">
        <v>220</v>
      </c>
      <c r="Q72">
        <v>1</v>
      </c>
      <c r="W72">
        <v>0</v>
      </c>
      <c r="X72">
        <v>1757280489</v>
      </c>
      <c r="Y72">
        <f t="shared" si="21"/>
        <v>100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0</v>
      </c>
      <c r="AP72">
        <v>0</v>
      </c>
      <c r="AQ72">
        <v>1</v>
      </c>
      <c r="AR72">
        <v>0</v>
      </c>
      <c r="AS72" t="s">
        <v>3</v>
      </c>
      <c r="AT72">
        <v>100</v>
      </c>
      <c r="AU72" t="s">
        <v>3</v>
      </c>
      <c r="AV72">
        <v>0</v>
      </c>
      <c r="AW72">
        <v>2</v>
      </c>
      <c r="AX72">
        <v>65171143</v>
      </c>
      <c r="AY72">
        <v>1</v>
      </c>
      <c r="AZ72">
        <v>0</v>
      </c>
      <c r="BA72">
        <v>68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ROUND(Y72*Source!I73,7)</f>
        <v>3</v>
      </c>
      <c r="CY72">
        <f>AA72</f>
        <v>0</v>
      </c>
      <c r="CZ72">
        <f>AE72</f>
        <v>0</v>
      </c>
      <c r="DA72">
        <f>AI72</f>
        <v>1</v>
      </c>
      <c r="DB72">
        <f t="shared" si="22"/>
        <v>0</v>
      </c>
      <c r="DC72">
        <f t="shared" si="23"/>
        <v>0</v>
      </c>
      <c r="DD72" t="s">
        <v>3</v>
      </c>
      <c r="DE72" t="s">
        <v>3</v>
      </c>
      <c r="DF72">
        <f t="shared" ref="DF72:DF80" si="29">ROUND(ROUND(AE72,2)*CX72,2)</f>
        <v>0</v>
      </c>
      <c r="DG72">
        <f t="shared" si="28"/>
        <v>0</v>
      </c>
      <c r="DH72">
        <f t="shared" si="27"/>
        <v>0</v>
      </c>
      <c r="DI72">
        <f t="shared" si="5"/>
        <v>0</v>
      </c>
      <c r="DJ72">
        <f>DF72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ROW(Source!A75)</f>
        <v>75</v>
      </c>
      <c r="B73">
        <v>65170852</v>
      </c>
      <c r="C73">
        <v>65171145</v>
      </c>
      <c r="D73">
        <v>37070495</v>
      </c>
      <c r="E73">
        <v>108</v>
      </c>
      <c r="F73">
        <v>1</v>
      </c>
      <c r="G73">
        <v>1</v>
      </c>
      <c r="H73">
        <v>1</v>
      </c>
      <c r="I73" t="s">
        <v>507</v>
      </c>
      <c r="J73" t="s">
        <v>3</v>
      </c>
      <c r="K73" t="s">
        <v>508</v>
      </c>
      <c r="L73">
        <v>1191</v>
      </c>
      <c r="N73">
        <v>1013</v>
      </c>
      <c r="O73" t="s">
        <v>509</v>
      </c>
      <c r="P73" t="s">
        <v>509</v>
      </c>
      <c r="Q73">
        <v>1</v>
      </c>
      <c r="W73">
        <v>0</v>
      </c>
      <c r="X73">
        <v>784619160</v>
      </c>
      <c r="Y73">
        <f t="shared" ref="Y73:Y104" si="30">AT73</f>
        <v>39.549999999999997</v>
      </c>
      <c r="AA73">
        <v>0</v>
      </c>
      <c r="AB73">
        <v>0</v>
      </c>
      <c r="AC73">
        <v>0</v>
      </c>
      <c r="AD73">
        <v>446.62</v>
      </c>
      <c r="AE73">
        <v>0</v>
      </c>
      <c r="AF73">
        <v>0</v>
      </c>
      <c r="AG73">
        <v>0</v>
      </c>
      <c r="AH73">
        <v>446.62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39.549999999999997</v>
      </c>
      <c r="AU73" t="s">
        <v>3</v>
      </c>
      <c r="AV73">
        <v>1</v>
      </c>
      <c r="AW73">
        <v>2</v>
      </c>
      <c r="AX73">
        <v>65171169</v>
      </c>
      <c r="AY73">
        <v>1</v>
      </c>
      <c r="AZ73">
        <v>0</v>
      </c>
      <c r="BA73">
        <v>69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17663.821</v>
      </c>
      <c r="BN73">
        <v>39.549999999999997</v>
      </c>
      <c r="BO73">
        <v>0</v>
      </c>
      <c r="BP73">
        <v>1</v>
      </c>
      <c r="BQ73">
        <v>0</v>
      </c>
      <c r="BR73">
        <v>0</v>
      </c>
      <c r="BS73">
        <v>0</v>
      </c>
      <c r="BT73">
        <v>17663.821</v>
      </c>
      <c r="BU73">
        <v>39.549999999999997</v>
      </c>
      <c r="BV73">
        <v>0</v>
      </c>
      <c r="BW73">
        <v>1</v>
      </c>
      <c r="CU73">
        <f>ROUND(AT73*Source!I75*AH73*AL73,2)</f>
        <v>2039.11</v>
      </c>
      <c r="CV73">
        <f>ROUND(Y73*Source!I75,7)</f>
        <v>4.565652</v>
      </c>
      <c r="CW73">
        <v>0</v>
      </c>
      <c r="CX73">
        <f>ROUND(Y73*Source!I75,7)</f>
        <v>4.565652</v>
      </c>
      <c r="CY73">
        <f>AD73</f>
        <v>446.62</v>
      </c>
      <c r="CZ73">
        <f>AH73</f>
        <v>446.62</v>
      </c>
      <c r="DA73">
        <f>AL73</f>
        <v>1</v>
      </c>
      <c r="DB73">
        <f t="shared" ref="DB73:DB104" si="31">ROUND(ROUND(AT73*CZ73,2),6)</f>
        <v>17663.82</v>
      </c>
      <c r="DC73">
        <f t="shared" ref="DC73:DC104" si="32">ROUND(ROUND(AT73*AG73,2),6)</f>
        <v>0</v>
      </c>
      <c r="DD73" t="s">
        <v>3</v>
      </c>
      <c r="DE73" t="s">
        <v>3</v>
      </c>
      <c r="DF73">
        <f t="shared" si="29"/>
        <v>0</v>
      </c>
      <c r="DG73">
        <f t="shared" si="28"/>
        <v>0</v>
      </c>
      <c r="DH73">
        <f t="shared" si="27"/>
        <v>0</v>
      </c>
      <c r="DI73">
        <f t="shared" si="5"/>
        <v>2039.11</v>
      </c>
      <c r="DJ73">
        <f>DI73</f>
        <v>2039.11</v>
      </c>
      <c r="DK73">
        <v>1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ROW(Source!A75)</f>
        <v>75</v>
      </c>
      <c r="B74">
        <v>65170852</v>
      </c>
      <c r="C74">
        <v>65171145</v>
      </c>
      <c r="D74">
        <v>37064876</v>
      </c>
      <c r="E74">
        <v>108</v>
      </c>
      <c r="F74">
        <v>1</v>
      </c>
      <c r="G74">
        <v>1</v>
      </c>
      <c r="H74">
        <v>1</v>
      </c>
      <c r="I74" t="s">
        <v>510</v>
      </c>
      <c r="J74" t="s">
        <v>3</v>
      </c>
      <c r="K74" t="s">
        <v>511</v>
      </c>
      <c r="L74">
        <v>1191</v>
      </c>
      <c r="N74">
        <v>1013</v>
      </c>
      <c r="O74" t="s">
        <v>509</v>
      </c>
      <c r="P74" t="s">
        <v>509</v>
      </c>
      <c r="Q74">
        <v>1</v>
      </c>
      <c r="W74">
        <v>0</v>
      </c>
      <c r="X74">
        <v>-1417349443</v>
      </c>
      <c r="Y74">
        <f t="shared" si="30"/>
        <v>4.01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4.01</v>
      </c>
      <c r="AU74" t="s">
        <v>3</v>
      </c>
      <c r="AV74">
        <v>2</v>
      </c>
      <c r="AW74">
        <v>2</v>
      </c>
      <c r="AX74">
        <v>65171170</v>
      </c>
      <c r="AY74">
        <v>1</v>
      </c>
      <c r="AZ74">
        <v>0</v>
      </c>
      <c r="BA74">
        <v>70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ROUND(Y74*Source!I75,7)</f>
        <v>0.4629144</v>
      </c>
      <c r="CY74">
        <f>AD74</f>
        <v>0</v>
      </c>
      <c r="CZ74">
        <f>AH74</f>
        <v>0</v>
      </c>
      <c r="DA74">
        <f>AL74</f>
        <v>1</v>
      </c>
      <c r="DB74">
        <f t="shared" si="31"/>
        <v>0</v>
      </c>
      <c r="DC74">
        <f t="shared" si="32"/>
        <v>0</v>
      </c>
      <c r="DD74" t="s">
        <v>3</v>
      </c>
      <c r="DE74" t="s">
        <v>3</v>
      </c>
      <c r="DF74">
        <f t="shared" si="29"/>
        <v>0</v>
      </c>
      <c r="DG74">
        <f t="shared" si="28"/>
        <v>0</v>
      </c>
      <c r="DH74">
        <f t="shared" si="27"/>
        <v>0</v>
      </c>
      <c r="DI74">
        <f t="shared" si="5"/>
        <v>0</v>
      </c>
      <c r="DJ74">
        <f>DI74</f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ROW(Source!A75)</f>
        <v>75</v>
      </c>
      <c r="B75">
        <v>65170852</v>
      </c>
      <c r="C75">
        <v>65171145</v>
      </c>
      <c r="D75">
        <v>56571341</v>
      </c>
      <c r="E75">
        <v>1</v>
      </c>
      <c r="F75">
        <v>1</v>
      </c>
      <c r="G75">
        <v>1</v>
      </c>
      <c r="H75">
        <v>2</v>
      </c>
      <c r="I75" t="s">
        <v>534</v>
      </c>
      <c r="J75" t="s">
        <v>535</v>
      </c>
      <c r="K75" t="s">
        <v>536</v>
      </c>
      <c r="L75">
        <v>1368</v>
      </c>
      <c r="N75">
        <v>1011</v>
      </c>
      <c r="O75" t="s">
        <v>515</v>
      </c>
      <c r="P75" t="s">
        <v>515</v>
      </c>
      <c r="Q75">
        <v>1</v>
      </c>
      <c r="W75">
        <v>0</v>
      </c>
      <c r="X75">
        <v>1508484421</v>
      </c>
      <c r="Y75">
        <f t="shared" si="30"/>
        <v>0.1</v>
      </c>
      <c r="AA75">
        <v>0</v>
      </c>
      <c r="AB75">
        <v>2308.85</v>
      </c>
      <c r="AC75">
        <v>658.94</v>
      </c>
      <c r="AD75">
        <v>0</v>
      </c>
      <c r="AE75">
        <v>0</v>
      </c>
      <c r="AF75">
        <v>1803.79</v>
      </c>
      <c r="AG75">
        <v>658.94</v>
      </c>
      <c r="AH75">
        <v>0</v>
      </c>
      <c r="AI75">
        <v>1</v>
      </c>
      <c r="AJ75">
        <v>1.28</v>
      </c>
      <c r="AK75">
        <v>1</v>
      </c>
      <c r="AL75">
        <v>1</v>
      </c>
      <c r="AM75">
        <v>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0.1</v>
      </c>
      <c r="AU75" t="s">
        <v>3</v>
      </c>
      <c r="AV75">
        <v>1</v>
      </c>
      <c r="AW75">
        <v>2</v>
      </c>
      <c r="AX75">
        <v>65171171</v>
      </c>
      <c r="AY75">
        <v>1</v>
      </c>
      <c r="AZ75">
        <v>0</v>
      </c>
      <c r="BA75">
        <v>71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180.37900000000002</v>
      </c>
      <c r="BL75">
        <v>65.894000000000005</v>
      </c>
      <c r="BM75">
        <v>0</v>
      </c>
      <c r="BN75">
        <v>0</v>
      </c>
      <c r="BO75">
        <v>0.1</v>
      </c>
      <c r="BP75">
        <v>1</v>
      </c>
      <c r="BQ75">
        <v>0</v>
      </c>
      <c r="BR75">
        <v>180.37900000000002</v>
      </c>
      <c r="BS75">
        <v>65.894000000000005</v>
      </c>
      <c r="BT75">
        <v>0</v>
      </c>
      <c r="BU75">
        <v>0</v>
      </c>
      <c r="BV75">
        <v>0.1</v>
      </c>
      <c r="BW75">
        <v>1</v>
      </c>
      <c r="CV75">
        <v>0</v>
      </c>
      <c r="CW75">
        <f>ROUND(Y75*Source!I75*DO75,7)</f>
        <v>1.1544E-2</v>
      </c>
      <c r="CX75">
        <f>ROUND(Y75*Source!I75,7)</f>
        <v>1.1544E-2</v>
      </c>
      <c r="CY75">
        <f t="shared" ref="CY75:CY80" si="33">AB75</f>
        <v>2308.85</v>
      </c>
      <c r="CZ75">
        <f t="shared" ref="CZ75:CZ80" si="34">AF75</f>
        <v>1803.79</v>
      </c>
      <c r="DA75">
        <f t="shared" ref="DA75:DA80" si="35">AJ75</f>
        <v>1.28</v>
      </c>
      <c r="DB75">
        <f t="shared" si="31"/>
        <v>180.38</v>
      </c>
      <c r="DC75">
        <f t="shared" si="32"/>
        <v>65.89</v>
      </c>
      <c r="DD75" t="s">
        <v>3</v>
      </c>
      <c r="DE75" t="s">
        <v>3</v>
      </c>
      <c r="DF75">
        <f t="shared" si="29"/>
        <v>0</v>
      </c>
      <c r="DG75">
        <f>ROUND(ROUND(AF75*AJ75,2)*CX75,2)</f>
        <v>26.65</v>
      </c>
      <c r="DH75">
        <f t="shared" si="27"/>
        <v>7.61</v>
      </c>
      <c r="DI75">
        <f t="shared" si="5"/>
        <v>0</v>
      </c>
      <c r="DJ75">
        <f t="shared" ref="DJ75:DJ80" si="36">DG75+DH75</f>
        <v>34.26</v>
      </c>
      <c r="DK75">
        <v>0</v>
      </c>
      <c r="DL75" t="s">
        <v>516</v>
      </c>
      <c r="DM75">
        <v>6</v>
      </c>
      <c r="DN75" t="s">
        <v>509</v>
      </c>
      <c r="DO75">
        <v>1</v>
      </c>
    </row>
    <row r="76" spans="1:119" x14ac:dyDescent="0.2">
      <c r="A76">
        <f>ROW(Source!A75)</f>
        <v>75</v>
      </c>
      <c r="B76">
        <v>65170852</v>
      </c>
      <c r="C76">
        <v>65171145</v>
      </c>
      <c r="D76">
        <v>56571417</v>
      </c>
      <c r="E76">
        <v>1</v>
      </c>
      <c r="F76">
        <v>1</v>
      </c>
      <c r="G76">
        <v>1</v>
      </c>
      <c r="H76">
        <v>2</v>
      </c>
      <c r="I76" t="s">
        <v>512</v>
      </c>
      <c r="J76" t="s">
        <v>513</v>
      </c>
      <c r="K76" t="s">
        <v>514</v>
      </c>
      <c r="L76">
        <v>1368</v>
      </c>
      <c r="N76">
        <v>1011</v>
      </c>
      <c r="O76" t="s">
        <v>515</v>
      </c>
      <c r="P76" t="s">
        <v>515</v>
      </c>
      <c r="Q76">
        <v>1</v>
      </c>
      <c r="W76">
        <v>0</v>
      </c>
      <c r="X76">
        <v>-848025172</v>
      </c>
      <c r="Y76">
        <f t="shared" si="30"/>
        <v>0.12</v>
      </c>
      <c r="AA76">
        <v>0</v>
      </c>
      <c r="AB76">
        <v>1551.19</v>
      </c>
      <c r="AC76">
        <v>658.94</v>
      </c>
      <c r="AD76">
        <v>0</v>
      </c>
      <c r="AE76">
        <v>0</v>
      </c>
      <c r="AF76">
        <v>1551.19</v>
      </c>
      <c r="AG76">
        <v>658.94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0.12</v>
      </c>
      <c r="AU76" t="s">
        <v>3</v>
      </c>
      <c r="AV76">
        <v>1</v>
      </c>
      <c r="AW76">
        <v>2</v>
      </c>
      <c r="AX76">
        <v>65171172</v>
      </c>
      <c r="AY76">
        <v>1</v>
      </c>
      <c r="AZ76">
        <v>0</v>
      </c>
      <c r="BA76">
        <v>72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186.14279999999999</v>
      </c>
      <c r="BL76">
        <v>79.072800000000001</v>
      </c>
      <c r="BM76">
        <v>0</v>
      </c>
      <c r="BN76">
        <v>0</v>
      </c>
      <c r="BO76">
        <v>0.12</v>
      </c>
      <c r="BP76">
        <v>1</v>
      </c>
      <c r="BQ76">
        <v>0</v>
      </c>
      <c r="BR76">
        <v>186.14279999999999</v>
      </c>
      <c r="BS76">
        <v>79.072800000000001</v>
      </c>
      <c r="BT76">
        <v>0</v>
      </c>
      <c r="BU76">
        <v>0</v>
      </c>
      <c r="BV76">
        <v>0.12</v>
      </c>
      <c r="BW76">
        <v>1</v>
      </c>
      <c r="CV76">
        <v>0</v>
      </c>
      <c r="CW76">
        <f>ROUND(Y76*Source!I75*DO76,7)</f>
        <v>1.38528E-2</v>
      </c>
      <c r="CX76">
        <f>ROUND(Y76*Source!I75,7)</f>
        <v>1.38528E-2</v>
      </c>
      <c r="CY76">
        <f t="shared" si="33"/>
        <v>1551.19</v>
      </c>
      <c r="CZ76">
        <f t="shared" si="34"/>
        <v>1551.19</v>
      </c>
      <c r="DA76">
        <f t="shared" si="35"/>
        <v>1</v>
      </c>
      <c r="DB76">
        <f t="shared" si="31"/>
        <v>186.14</v>
      </c>
      <c r="DC76">
        <f t="shared" si="32"/>
        <v>79.069999999999993</v>
      </c>
      <c r="DD76" t="s">
        <v>3</v>
      </c>
      <c r="DE76" t="s">
        <v>3</v>
      </c>
      <c r="DF76">
        <f t="shared" si="29"/>
        <v>0</v>
      </c>
      <c r="DG76">
        <f>ROUND(ROUND(AF76,2)*CX76,2)</f>
        <v>21.49</v>
      </c>
      <c r="DH76">
        <f t="shared" si="27"/>
        <v>9.1300000000000008</v>
      </c>
      <c r="DI76">
        <f t="shared" si="5"/>
        <v>0</v>
      </c>
      <c r="DJ76">
        <f t="shared" si="36"/>
        <v>30.619999999999997</v>
      </c>
      <c r="DK76">
        <v>1</v>
      </c>
      <c r="DL76" t="s">
        <v>516</v>
      </c>
      <c r="DM76">
        <v>6</v>
      </c>
      <c r="DN76" t="s">
        <v>509</v>
      </c>
      <c r="DO76">
        <v>1</v>
      </c>
    </row>
    <row r="77" spans="1:119" x14ac:dyDescent="0.2">
      <c r="A77">
        <f>ROW(Source!A75)</f>
        <v>75</v>
      </c>
      <c r="B77">
        <v>65170852</v>
      </c>
      <c r="C77">
        <v>65171145</v>
      </c>
      <c r="D77">
        <v>56571433</v>
      </c>
      <c r="E77">
        <v>1</v>
      </c>
      <c r="F77">
        <v>1</v>
      </c>
      <c r="G77">
        <v>1</v>
      </c>
      <c r="H77">
        <v>2</v>
      </c>
      <c r="I77" t="s">
        <v>517</v>
      </c>
      <c r="J77" t="s">
        <v>518</v>
      </c>
      <c r="K77" t="s">
        <v>519</v>
      </c>
      <c r="L77">
        <v>1368</v>
      </c>
      <c r="N77">
        <v>1011</v>
      </c>
      <c r="O77" t="s">
        <v>515</v>
      </c>
      <c r="P77" t="s">
        <v>515</v>
      </c>
      <c r="Q77">
        <v>1</v>
      </c>
      <c r="W77">
        <v>0</v>
      </c>
      <c r="X77">
        <v>-1087419069</v>
      </c>
      <c r="Y77">
        <f t="shared" si="30"/>
        <v>3.6</v>
      </c>
      <c r="AA77">
        <v>0</v>
      </c>
      <c r="AB77">
        <v>2180.2199999999998</v>
      </c>
      <c r="AC77">
        <v>658.94</v>
      </c>
      <c r="AD77">
        <v>0</v>
      </c>
      <c r="AE77">
        <v>0</v>
      </c>
      <c r="AF77">
        <v>1703.3</v>
      </c>
      <c r="AG77">
        <v>658.94</v>
      </c>
      <c r="AH77">
        <v>0</v>
      </c>
      <c r="AI77">
        <v>1</v>
      </c>
      <c r="AJ77">
        <v>1.28</v>
      </c>
      <c r="AK77">
        <v>1</v>
      </c>
      <c r="AL77">
        <v>1</v>
      </c>
      <c r="AM77">
        <v>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3.6</v>
      </c>
      <c r="AU77" t="s">
        <v>3</v>
      </c>
      <c r="AV77">
        <v>1</v>
      </c>
      <c r="AW77">
        <v>2</v>
      </c>
      <c r="AX77">
        <v>65171173</v>
      </c>
      <c r="AY77">
        <v>1</v>
      </c>
      <c r="AZ77">
        <v>0</v>
      </c>
      <c r="BA77">
        <v>73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6131.88</v>
      </c>
      <c r="BL77">
        <v>2372.1840000000002</v>
      </c>
      <c r="BM77">
        <v>0</v>
      </c>
      <c r="BN77">
        <v>0</v>
      </c>
      <c r="BO77">
        <v>3.6</v>
      </c>
      <c r="BP77">
        <v>1</v>
      </c>
      <c r="BQ77">
        <v>0</v>
      </c>
      <c r="BR77">
        <v>6131.88</v>
      </c>
      <c r="BS77">
        <v>2372.1840000000002</v>
      </c>
      <c r="BT77">
        <v>0</v>
      </c>
      <c r="BU77">
        <v>0</v>
      </c>
      <c r="BV77">
        <v>3.6</v>
      </c>
      <c r="BW77">
        <v>1</v>
      </c>
      <c r="CV77">
        <v>0</v>
      </c>
      <c r="CW77">
        <f>ROUND(Y77*Source!I75*DO77,7)</f>
        <v>0.41558400000000001</v>
      </c>
      <c r="CX77">
        <f>ROUND(Y77*Source!I75,7)</f>
        <v>0.41558400000000001</v>
      </c>
      <c r="CY77">
        <f t="shared" si="33"/>
        <v>2180.2199999999998</v>
      </c>
      <c r="CZ77">
        <f t="shared" si="34"/>
        <v>1703.3</v>
      </c>
      <c r="DA77">
        <f t="shared" si="35"/>
        <v>1.28</v>
      </c>
      <c r="DB77">
        <f t="shared" si="31"/>
        <v>6131.88</v>
      </c>
      <c r="DC77">
        <f t="shared" si="32"/>
        <v>2372.1799999999998</v>
      </c>
      <c r="DD77" t="s">
        <v>3</v>
      </c>
      <c r="DE77" t="s">
        <v>3</v>
      </c>
      <c r="DF77">
        <f t="shared" si="29"/>
        <v>0</v>
      </c>
      <c r="DG77">
        <f>ROUND(ROUND(AF77*AJ77,2)*CX77,2)</f>
        <v>906.06</v>
      </c>
      <c r="DH77">
        <f t="shared" si="27"/>
        <v>273.83999999999997</v>
      </c>
      <c r="DI77">
        <f t="shared" si="5"/>
        <v>0</v>
      </c>
      <c r="DJ77">
        <f t="shared" si="36"/>
        <v>1179.8999999999999</v>
      </c>
      <c r="DK77">
        <v>0</v>
      </c>
      <c r="DL77" t="s">
        <v>516</v>
      </c>
      <c r="DM77">
        <v>6</v>
      </c>
      <c r="DN77" t="s">
        <v>509</v>
      </c>
      <c r="DO77">
        <v>1</v>
      </c>
    </row>
    <row r="78" spans="1:119" x14ac:dyDescent="0.2">
      <c r="A78">
        <f>ROW(Source!A75)</f>
        <v>75</v>
      </c>
      <c r="B78">
        <v>65170852</v>
      </c>
      <c r="C78">
        <v>65171145</v>
      </c>
      <c r="D78">
        <v>56572833</v>
      </c>
      <c r="E78">
        <v>1</v>
      </c>
      <c r="F78">
        <v>1</v>
      </c>
      <c r="G78">
        <v>1</v>
      </c>
      <c r="H78">
        <v>2</v>
      </c>
      <c r="I78" t="s">
        <v>520</v>
      </c>
      <c r="J78" t="s">
        <v>521</v>
      </c>
      <c r="K78" t="s">
        <v>522</v>
      </c>
      <c r="L78">
        <v>1368</v>
      </c>
      <c r="N78">
        <v>1011</v>
      </c>
      <c r="O78" t="s">
        <v>515</v>
      </c>
      <c r="P78" t="s">
        <v>515</v>
      </c>
      <c r="Q78">
        <v>1</v>
      </c>
      <c r="W78">
        <v>0</v>
      </c>
      <c r="X78">
        <v>1230426758</v>
      </c>
      <c r="Y78">
        <f t="shared" si="30"/>
        <v>0.19</v>
      </c>
      <c r="AA78">
        <v>0</v>
      </c>
      <c r="AB78">
        <v>578.28</v>
      </c>
      <c r="AC78">
        <v>490.55</v>
      </c>
      <c r="AD78">
        <v>0</v>
      </c>
      <c r="AE78">
        <v>0</v>
      </c>
      <c r="AF78">
        <v>477.92</v>
      </c>
      <c r="AG78">
        <v>490.55</v>
      </c>
      <c r="AH78">
        <v>0</v>
      </c>
      <c r="AI78">
        <v>1</v>
      </c>
      <c r="AJ78">
        <v>1.21</v>
      </c>
      <c r="AK78">
        <v>1</v>
      </c>
      <c r="AL78">
        <v>1</v>
      </c>
      <c r="AM78">
        <v>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0.19</v>
      </c>
      <c r="AU78" t="s">
        <v>3</v>
      </c>
      <c r="AV78">
        <v>1</v>
      </c>
      <c r="AW78">
        <v>2</v>
      </c>
      <c r="AX78">
        <v>65171174</v>
      </c>
      <c r="AY78">
        <v>1</v>
      </c>
      <c r="AZ78">
        <v>0</v>
      </c>
      <c r="BA78">
        <v>74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90.8048</v>
      </c>
      <c r="BL78">
        <v>93.20450000000001</v>
      </c>
      <c r="BM78">
        <v>0</v>
      </c>
      <c r="BN78">
        <v>0</v>
      </c>
      <c r="BO78">
        <v>0.19</v>
      </c>
      <c r="BP78">
        <v>1</v>
      </c>
      <c r="BQ78">
        <v>0</v>
      </c>
      <c r="BR78">
        <v>90.8048</v>
      </c>
      <c r="BS78">
        <v>93.20450000000001</v>
      </c>
      <c r="BT78">
        <v>0</v>
      </c>
      <c r="BU78">
        <v>0</v>
      </c>
      <c r="BV78">
        <v>0.19</v>
      </c>
      <c r="BW78">
        <v>1</v>
      </c>
      <c r="CV78">
        <v>0</v>
      </c>
      <c r="CW78">
        <f>ROUND(Y78*Source!I75*DO78,7)</f>
        <v>2.1933600000000001E-2</v>
      </c>
      <c r="CX78">
        <f>ROUND(Y78*Source!I75,7)</f>
        <v>2.1933600000000001E-2</v>
      </c>
      <c r="CY78">
        <f t="shared" si="33"/>
        <v>578.28</v>
      </c>
      <c r="CZ78">
        <f t="shared" si="34"/>
        <v>477.92</v>
      </c>
      <c r="DA78">
        <f t="shared" si="35"/>
        <v>1.21</v>
      </c>
      <c r="DB78">
        <f t="shared" si="31"/>
        <v>90.8</v>
      </c>
      <c r="DC78">
        <f t="shared" si="32"/>
        <v>93.2</v>
      </c>
      <c r="DD78" t="s">
        <v>3</v>
      </c>
      <c r="DE78" t="s">
        <v>3</v>
      </c>
      <c r="DF78">
        <f t="shared" si="29"/>
        <v>0</v>
      </c>
      <c r="DG78">
        <f>ROUND(ROUND(AF78*AJ78,2)*CX78,2)</f>
        <v>12.68</v>
      </c>
      <c r="DH78">
        <f t="shared" si="27"/>
        <v>10.76</v>
      </c>
      <c r="DI78">
        <f t="shared" si="5"/>
        <v>0</v>
      </c>
      <c r="DJ78">
        <f t="shared" si="36"/>
        <v>23.439999999999998</v>
      </c>
      <c r="DK78">
        <v>0</v>
      </c>
      <c r="DL78" t="s">
        <v>523</v>
      </c>
      <c r="DM78">
        <v>4</v>
      </c>
      <c r="DN78" t="s">
        <v>509</v>
      </c>
      <c r="DO78">
        <v>1</v>
      </c>
    </row>
    <row r="79" spans="1:119" x14ac:dyDescent="0.2">
      <c r="A79">
        <f>ROW(Source!A75)</f>
        <v>75</v>
      </c>
      <c r="B79">
        <v>65170852</v>
      </c>
      <c r="C79">
        <v>65171145</v>
      </c>
      <c r="D79">
        <v>56573083</v>
      </c>
      <c r="E79">
        <v>1</v>
      </c>
      <c r="F79">
        <v>1</v>
      </c>
      <c r="G79">
        <v>1</v>
      </c>
      <c r="H79">
        <v>2</v>
      </c>
      <c r="I79" t="s">
        <v>537</v>
      </c>
      <c r="J79" t="s">
        <v>538</v>
      </c>
      <c r="K79" t="s">
        <v>539</v>
      </c>
      <c r="L79">
        <v>1368</v>
      </c>
      <c r="N79">
        <v>1011</v>
      </c>
      <c r="O79" t="s">
        <v>515</v>
      </c>
      <c r="P79" t="s">
        <v>515</v>
      </c>
      <c r="Q79">
        <v>1</v>
      </c>
      <c r="W79">
        <v>0</v>
      </c>
      <c r="X79">
        <v>1429172998</v>
      </c>
      <c r="Y79">
        <f t="shared" si="30"/>
        <v>1.46</v>
      </c>
      <c r="AA79">
        <v>0</v>
      </c>
      <c r="AB79">
        <v>5.35</v>
      </c>
      <c r="AC79">
        <v>0</v>
      </c>
      <c r="AD79">
        <v>0</v>
      </c>
      <c r="AE79">
        <v>0</v>
      </c>
      <c r="AF79">
        <v>4.3499999999999996</v>
      </c>
      <c r="AG79">
        <v>0</v>
      </c>
      <c r="AH79">
        <v>0</v>
      </c>
      <c r="AI79">
        <v>1</v>
      </c>
      <c r="AJ79">
        <v>1.23</v>
      </c>
      <c r="AK79">
        <v>1</v>
      </c>
      <c r="AL79">
        <v>1</v>
      </c>
      <c r="AM79">
        <v>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1.46</v>
      </c>
      <c r="AU79" t="s">
        <v>3</v>
      </c>
      <c r="AV79">
        <v>1</v>
      </c>
      <c r="AW79">
        <v>2</v>
      </c>
      <c r="AX79">
        <v>65171175</v>
      </c>
      <c r="AY79">
        <v>1</v>
      </c>
      <c r="AZ79">
        <v>0</v>
      </c>
      <c r="BA79">
        <v>75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6.3509999999999991</v>
      </c>
      <c r="BL79">
        <v>0</v>
      </c>
      <c r="BM79">
        <v>0</v>
      </c>
      <c r="BN79">
        <v>0</v>
      </c>
      <c r="BO79">
        <v>0</v>
      </c>
      <c r="BP79">
        <v>1</v>
      </c>
      <c r="BQ79">
        <v>0</v>
      </c>
      <c r="BR79">
        <v>6.3509999999999991</v>
      </c>
      <c r="BS79">
        <v>0</v>
      </c>
      <c r="BT79">
        <v>0</v>
      </c>
      <c r="BU79">
        <v>0</v>
      </c>
      <c r="BV79">
        <v>0</v>
      </c>
      <c r="BW79">
        <v>1</v>
      </c>
      <c r="CV79">
        <v>0</v>
      </c>
      <c r="CW79">
        <f>ROUND(Y79*Source!I75*DO79,7)</f>
        <v>0</v>
      </c>
      <c r="CX79">
        <f>ROUND(Y79*Source!I75,7)</f>
        <v>0.16854240000000001</v>
      </c>
      <c r="CY79">
        <f t="shared" si="33"/>
        <v>5.35</v>
      </c>
      <c r="CZ79">
        <f t="shared" si="34"/>
        <v>4.3499999999999996</v>
      </c>
      <c r="DA79">
        <f t="shared" si="35"/>
        <v>1.23</v>
      </c>
      <c r="DB79">
        <f t="shared" si="31"/>
        <v>6.35</v>
      </c>
      <c r="DC79">
        <f t="shared" si="32"/>
        <v>0</v>
      </c>
      <c r="DD79" t="s">
        <v>3</v>
      </c>
      <c r="DE79" t="s">
        <v>3</v>
      </c>
      <c r="DF79">
        <f t="shared" si="29"/>
        <v>0</v>
      </c>
      <c r="DG79">
        <f>ROUND(ROUND(AF79*AJ79,2)*CX79,2)</f>
        <v>0.9</v>
      </c>
      <c r="DH79">
        <f t="shared" si="27"/>
        <v>0</v>
      </c>
      <c r="DI79">
        <f t="shared" si="5"/>
        <v>0</v>
      </c>
      <c r="DJ79">
        <f t="shared" si="36"/>
        <v>0.9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ROW(Source!A75)</f>
        <v>75</v>
      </c>
      <c r="B80">
        <v>65170852</v>
      </c>
      <c r="C80">
        <v>65171145</v>
      </c>
      <c r="D80">
        <v>56573131</v>
      </c>
      <c r="E80">
        <v>1</v>
      </c>
      <c r="F80">
        <v>1</v>
      </c>
      <c r="G80">
        <v>1</v>
      </c>
      <c r="H80">
        <v>2</v>
      </c>
      <c r="I80" t="s">
        <v>540</v>
      </c>
      <c r="J80" t="s">
        <v>541</v>
      </c>
      <c r="K80" t="s">
        <v>542</v>
      </c>
      <c r="L80">
        <v>1368</v>
      </c>
      <c r="N80">
        <v>1011</v>
      </c>
      <c r="O80" t="s">
        <v>515</v>
      </c>
      <c r="P80" t="s">
        <v>515</v>
      </c>
      <c r="Q80">
        <v>1</v>
      </c>
      <c r="W80">
        <v>0</v>
      </c>
      <c r="X80">
        <v>2029615687</v>
      </c>
      <c r="Y80">
        <f t="shared" si="30"/>
        <v>0.1</v>
      </c>
      <c r="AA80">
        <v>0</v>
      </c>
      <c r="AB80">
        <v>61.72</v>
      </c>
      <c r="AC80">
        <v>0</v>
      </c>
      <c r="AD80">
        <v>0</v>
      </c>
      <c r="AE80">
        <v>0</v>
      </c>
      <c r="AF80">
        <v>61.72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3</v>
      </c>
      <c r="AT80">
        <v>0.1</v>
      </c>
      <c r="AU80" t="s">
        <v>3</v>
      </c>
      <c r="AV80">
        <v>1</v>
      </c>
      <c r="AW80">
        <v>2</v>
      </c>
      <c r="AX80">
        <v>65171176</v>
      </c>
      <c r="AY80">
        <v>1</v>
      </c>
      <c r="AZ80">
        <v>0</v>
      </c>
      <c r="BA80">
        <v>76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6.1720000000000006</v>
      </c>
      <c r="BL80">
        <v>0</v>
      </c>
      <c r="BM80">
        <v>0</v>
      </c>
      <c r="BN80">
        <v>0</v>
      </c>
      <c r="BO80">
        <v>0</v>
      </c>
      <c r="BP80">
        <v>1</v>
      </c>
      <c r="BQ80">
        <v>0</v>
      </c>
      <c r="BR80">
        <v>6.1720000000000006</v>
      </c>
      <c r="BS80">
        <v>0</v>
      </c>
      <c r="BT80">
        <v>0</v>
      </c>
      <c r="BU80">
        <v>0</v>
      </c>
      <c r="BV80">
        <v>0</v>
      </c>
      <c r="BW80">
        <v>1</v>
      </c>
      <c r="CV80">
        <v>0</v>
      </c>
      <c r="CW80">
        <f>ROUND(Y80*Source!I75*DO80,7)</f>
        <v>0</v>
      </c>
      <c r="CX80">
        <f>ROUND(Y80*Source!I75,7)</f>
        <v>1.1544E-2</v>
      </c>
      <c r="CY80">
        <f t="shared" si="33"/>
        <v>61.72</v>
      </c>
      <c r="CZ80">
        <f t="shared" si="34"/>
        <v>61.72</v>
      </c>
      <c r="DA80">
        <f t="shared" si="35"/>
        <v>1</v>
      </c>
      <c r="DB80">
        <f t="shared" si="31"/>
        <v>6.17</v>
      </c>
      <c r="DC80">
        <f t="shared" si="32"/>
        <v>0</v>
      </c>
      <c r="DD80" t="s">
        <v>3</v>
      </c>
      <c r="DE80" t="s">
        <v>3</v>
      </c>
      <c r="DF80">
        <f t="shared" si="29"/>
        <v>0</v>
      </c>
      <c r="DG80">
        <f t="shared" ref="DG80:DG97" si="37">ROUND(ROUND(AF80,2)*CX80,2)</f>
        <v>0.71</v>
      </c>
      <c r="DH80">
        <f t="shared" si="27"/>
        <v>0</v>
      </c>
      <c r="DI80">
        <f t="shared" si="5"/>
        <v>0</v>
      </c>
      <c r="DJ80">
        <f t="shared" si="36"/>
        <v>0.71</v>
      </c>
      <c r="DK80">
        <v>1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ROW(Source!A75)</f>
        <v>75</v>
      </c>
      <c r="B81">
        <v>65170852</v>
      </c>
      <c r="C81">
        <v>65171145</v>
      </c>
      <c r="D81">
        <v>56574903</v>
      </c>
      <c r="E81">
        <v>1</v>
      </c>
      <c r="F81">
        <v>1</v>
      </c>
      <c r="G81">
        <v>1</v>
      </c>
      <c r="H81">
        <v>3</v>
      </c>
      <c r="I81" t="s">
        <v>543</v>
      </c>
      <c r="J81" t="s">
        <v>544</v>
      </c>
      <c r="K81" t="s">
        <v>545</v>
      </c>
      <c r="L81">
        <v>1339</v>
      </c>
      <c r="N81">
        <v>1007</v>
      </c>
      <c r="O81" t="s">
        <v>129</v>
      </c>
      <c r="P81" t="s">
        <v>129</v>
      </c>
      <c r="Q81">
        <v>1</v>
      </c>
      <c r="W81">
        <v>0</v>
      </c>
      <c r="X81">
        <v>-405651238</v>
      </c>
      <c r="Y81">
        <f t="shared" si="30"/>
        <v>1.2</v>
      </c>
      <c r="AA81">
        <v>90.57</v>
      </c>
      <c r="AB81">
        <v>0</v>
      </c>
      <c r="AC81">
        <v>0</v>
      </c>
      <c r="AD81">
        <v>0</v>
      </c>
      <c r="AE81">
        <v>114.64</v>
      </c>
      <c r="AF81">
        <v>0</v>
      </c>
      <c r="AG81">
        <v>0</v>
      </c>
      <c r="AH81">
        <v>0</v>
      </c>
      <c r="AI81">
        <v>0.79</v>
      </c>
      <c r="AJ81">
        <v>1</v>
      </c>
      <c r="AK81">
        <v>1</v>
      </c>
      <c r="AL81">
        <v>1</v>
      </c>
      <c r="AM81">
        <v>2</v>
      </c>
      <c r="AN81">
        <v>0</v>
      </c>
      <c r="AO81">
        <v>0</v>
      </c>
      <c r="AP81">
        <v>1</v>
      </c>
      <c r="AQ81">
        <v>1</v>
      </c>
      <c r="AR81">
        <v>0</v>
      </c>
      <c r="AS81" t="s">
        <v>3</v>
      </c>
      <c r="AT81">
        <v>1.2</v>
      </c>
      <c r="AU81" t="s">
        <v>3</v>
      </c>
      <c r="AV81">
        <v>0</v>
      </c>
      <c r="AW81">
        <v>2</v>
      </c>
      <c r="AX81">
        <v>65171177</v>
      </c>
      <c r="AY81">
        <v>1</v>
      </c>
      <c r="AZ81">
        <v>0</v>
      </c>
      <c r="BA81">
        <v>77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137.56799999999998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1</v>
      </c>
      <c r="BQ81">
        <v>137.56799999999998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1</v>
      </c>
      <c r="CV81">
        <v>0</v>
      </c>
      <c r="CW81">
        <v>0</v>
      </c>
      <c r="CX81">
        <f>ROUND(Y81*Source!I75,7)</f>
        <v>0.13852800000000001</v>
      </c>
      <c r="CY81">
        <f t="shared" ref="CY81:CY95" si="38">AA81</f>
        <v>90.57</v>
      </c>
      <c r="CZ81">
        <f t="shared" ref="CZ81:CZ95" si="39">AE81</f>
        <v>114.64</v>
      </c>
      <c r="DA81">
        <f t="shared" ref="DA81:DA95" si="40">AI81</f>
        <v>0.79</v>
      </c>
      <c r="DB81">
        <f t="shared" si="31"/>
        <v>137.57</v>
      </c>
      <c r="DC81">
        <f t="shared" si="32"/>
        <v>0</v>
      </c>
      <c r="DD81" t="s">
        <v>3</v>
      </c>
      <c r="DE81" t="s">
        <v>3</v>
      </c>
      <c r="DF81">
        <f t="shared" ref="DF81:DF86" si="41">ROUND(ROUND(AE81*AI81,2)*CX81,2)</f>
        <v>12.55</v>
      </c>
      <c r="DG81">
        <f t="shared" si="37"/>
        <v>0</v>
      </c>
      <c r="DH81">
        <f t="shared" si="27"/>
        <v>0</v>
      </c>
      <c r="DI81">
        <f t="shared" ref="DI81:DI144" si="42">ROUND(ROUND(AH81,2)*CX81,2)</f>
        <v>0</v>
      </c>
      <c r="DJ81">
        <f t="shared" ref="DJ81:DJ95" si="43">DF81</f>
        <v>12.55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ROW(Source!A75)</f>
        <v>75</v>
      </c>
      <c r="B82">
        <v>65170852</v>
      </c>
      <c r="C82">
        <v>65171145</v>
      </c>
      <c r="D82">
        <v>56574909</v>
      </c>
      <c r="E82">
        <v>1</v>
      </c>
      <c r="F82">
        <v>1</v>
      </c>
      <c r="G82">
        <v>1</v>
      </c>
      <c r="H82">
        <v>3</v>
      </c>
      <c r="I82" t="s">
        <v>546</v>
      </c>
      <c r="J82" t="s">
        <v>547</v>
      </c>
      <c r="K82" t="s">
        <v>548</v>
      </c>
      <c r="L82">
        <v>1346</v>
      </c>
      <c r="N82">
        <v>1009</v>
      </c>
      <c r="O82" t="s">
        <v>549</v>
      </c>
      <c r="P82" t="s">
        <v>549</v>
      </c>
      <c r="Q82">
        <v>1</v>
      </c>
      <c r="W82">
        <v>0</v>
      </c>
      <c r="X82">
        <v>-1420688185</v>
      </c>
      <c r="Y82">
        <f t="shared" si="30"/>
        <v>0.36</v>
      </c>
      <c r="AA82">
        <v>50.07</v>
      </c>
      <c r="AB82">
        <v>0</v>
      </c>
      <c r="AC82">
        <v>0</v>
      </c>
      <c r="AD82">
        <v>0</v>
      </c>
      <c r="AE82">
        <v>41.38</v>
      </c>
      <c r="AF82">
        <v>0</v>
      </c>
      <c r="AG82">
        <v>0</v>
      </c>
      <c r="AH82">
        <v>0</v>
      </c>
      <c r="AI82">
        <v>1.21</v>
      </c>
      <c r="AJ82">
        <v>1</v>
      </c>
      <c r="AK82">
        <v>1</v>
      </c>
      <c r="AL82">
        <v>1</v>
      </c>
      <c r="AM82">
        <v>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0.36</v>
      </c>
      <c r="AU82" t="s">
        <v>3</v>
      </c>
      <c r="AV82">
        <v>0</v>
      </c>
      <c r="AW82">
        <v>2</v>
      </c>
      <c r="AX82">
        <v>65171178</v>
      </c>
      <c r="AY82">
        <v>1</v>
      </c>
      <c r="AZ82">
        <v>0</v>
      </c>
      <c r="BA82">
        <v>78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14.896800000000001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1</v>
      </c>
      <c r="BQ82">
        <v>14.896800000000001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1</v>
      </c>
      <c r="CV82">
        <v>0</v>
      </c>
      <c r="CW82">
        <v>0</v>
      </c>
      <c r="CX82">
        <f>ROUND(Y82*Source!I75,7)</f>
        <v>4.1558400000000002E-2</v>
      </c>
      <c r="CY82">
        <f t="shared" si="38"/>
        <v>50.07</v>
      </c>
      <c r="CZ82">
        <f t="shared" si="39"/>
        <v>41.38</v>
      </c>
      <c r="DA82">
        <f t="shared" si="40"/>
        <v>1.21</v>
      </c>
      <c r="DB82">
        <f t="shared" si="31"/>
        <v>14.9</v>
      </c>
      <c r="DC82">
        <f t="shared" si="32"/>
        <v>0</v>
      </c>
      <c r="DD82" t="s">
        <v>3</v>
      </c>
      <c r="DE82" t="s">
        <v>3</v>
      </c>
      <c r="DF82">
        <f t="shared" si="41"/>
        <v>2.08</v>
      </c>
      <c r="DG82">
        <f t="shared" si="37"/>
        <v>0</v>
      </c>
      <c r="DH82">
        <f t="shared" si="27"/>
        <v>0</v>
      </c>
      <c r="DI82">
        <f t="shared" si="42"/>
        <v>0</v>
      </c>
      <c r="DJ82">
        <f t="shared" si="43"/>
        <v>2.08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ROW(Source!A75)</f>
        <v>75</v>
      </c>
      <c r="B83">
        <v>65170852</v>
      </c>
      <c r="C83">
        <v>65171145</v>
      </c>
      <c r="D83">
        <v>56579266</v>
      </c>
      <c r="E83">
        <v>1</v>
      </c>
      <c r="F83">
        <v>1</v>
      </c>
      <c r="G83">
        <v>1</v>
      </c>
      <c r="H83">
        <v>3</v>
      </c>
      <c r="I83" t="s">
        <v>550</v>
      </c>
      <c r="J83" t="s">
        <v>551</v>
      </c>
      <c r="K83" t="s">
        <v>552</v>
      </c>
      <c r="L83">
        <v>1346</v>
      </c>
      <c r="N83">
        <v>1009</v>
      </c>
      <c r="O83" t="s">
        <v>549</v>
      </c>
      <c r="P83" t="s">
        <v>549</v>
      </c>
      <c r="Q83">
        <v>1</v>
      </c>
      <c r="W83">
        <v>0</v>
      </c>
      <c r="X83">
        <v>-1545686836</v>
      </c>
      <c r="Y83">
        <f t="shared" si="30"/>
        <v>0.44</v>
      </c>
      <c r="AA83">
        <v>147.85</v>
      </c>
      <c r="AB83">
        <v>0</v>
      </c>
      <c r="AC83">
        <v>0</v>
      </c>
      <c r="AD83">
        <v>0</v>
      </c>
      <c r="AE83">
        <v>155.63</v>
      </c>
      <c r="AF83">
        <v>0</v>
      </c>
      <c r="AG83">
        <v>0</v>
      </c>
      <c r="AH83">
        <v>0</v>
      </c>
      <c r="AI83">
        <v>0.95</v>
      </c>
      <c r="AJ83">
        <v>1</v>
      </c>
      <c r="AK83">
        <v>1</v>
      </c>
      <c r="AL83">
        <v>1</v>
      </c>
      <c r="AM83">
        <v>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0.44</v>
      </c>
      <c r="AU83" t="s">
        <v>3</v>
      </c>
      <c r="AV83">
        <v>0</v>
      </c>
      <c r="AW83">
        <v>2</v>
      </c>
      <c r="AX83">
        <v>65171179</v>
      </c>
      <c r="AY83">
        <v>1</v>
      </c>
      <c r="AZ83">
        <v>0</v>
      </c>
      <c r="BA83">
        <v>79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68.477199999999996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1</v>
      </c>
      <c r="BQ83">
        <v>68.477199999999996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1</v>
      </c>
      <c r="CV83">
        <v>0</v>
      </c>
      <c r="CW83">
        <v>0</v>
      </c>
      <c r="CX83">
        <f>ROUND(Y83*Source!I75,7)</f>
        <v>5.0793600000000001E-2</v>
      </c>
      <c r="CY83">
        <f t="shared" si="38"/>
        <v>147.85</v>
      </c>
      <c r="CZ83">
        <f t="shared" si="39"/>
        <v>155.63</v>
      </c>
      <c r="DA83">
        <f t="shared" si="40"/>
        <v>0.95</v>
      </c>
      <c r="DB83">
        <f t="shared" si="31"/>
        <v>68.48</v>
      </c>
      <c r="DC83">
        <f t="shared" si="32"/>
        <v>0</v>
      </c>
      <c r="DD83" t="s">
        <v>3</v>
      </c>
      <c r="DE83" t="s">
        <v>3</v>
      </c>
      <c r="DF83">
        <f t="shared" si="41"/>
        <v>7.51</v>
      </c>
      <c r="DG83">
        <f t="shared" si="37"/>
        <v>0</v>
      </c>
      <c r="DH83">
        <f t="shared" si="27"/>
        <v>0</v>
      </c>
      <c r="DI83">
        <f t="shared" si="42"/>
        <v>0</v>
      </c>
      <c r="DJ83">
        <f t="shared" si="43"/>
        <v>7.51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ROW(Source!A75)</f>
        <v>75</v>
      </c>
      <c r="B84">
        <v>65170852</v>
      </c>
      <c r="C84">
        <v>65171145</v>
      </c>
      <c r="D84">
        <v>56580368</v>
      </c>
      <c r="E84">
        <v>1</v>
      </c>
      <c r="F84">
        <v>1</v>
      </c>
      <c r="G84">
        <v>1</v>
      </c>
      <c r="H84">
        <v>3</v>
      </c>
      <c r="I84" t="s">
        <v>553</v>
      </c>
      <c r="J84" t="s">
        <v>554</v>
      </c>
      <c r="K84" t="s">
        <v>555</v>
      </c>
      <c r="L84">
        <v>1346</v>
      </c>
      <c r="N84">
        <v>1009</v>
      </c>
      <c r="O84" t="s">
        <v>549</v>
      </c>
      <c r="P84" t="s">
        <v>549</v>
      </c>
      <c r="Q84">
        <v>1</v>
      </c>
      <c r="W84">
        <v>0</v>
      </c>
      <c r="X84">
        <v>-385218612</v>
      </c>
      <c r="Y84">
        <f t="shared" si="30"/>
        <v>21</v>
      </c>
      <c r="AA84">
        <v>201.17</v>
      </c>
      <c r="AB84">
        <v>0</v>
      </c>
      <c r="AC84">
        <v>0</v>
      </c>
      <c r="AD84">
        <v>0</v>
      </c>
      <c r="AE84">
        <v>174.93</v>
      </c>
      <c r="AF84">
        <v>0</v>
      </c>
      <c r="AG84">
        <v>0</v>
      </c>
      <c r="AH84">
        <v>0</v>
      </c>
      <c r="AI84">
        <v>1.1499999999999999</v>
      </c>
      <c r="AJ84">
        <v>1</v>
      </c>
      <c r="AK84">
        <v>1</v>
      </c>
      <c r="AL84">
        <v>1</v>
      </c>
      <c r="AM84">
        <v>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21</v>
      </c>
      <c r="AU84" t="s">
        <v>3</v>
      </c>
      <c r="AV84">
        <v>0</v>
      </c>
      <c r="AW84">
        <v>2</v>
      </c>
      <c r="AX84">
        <v>65171180</v>
      </c>
      <c r="AY84">
        <v>1</v>
      </c>
      <c r="AZ84">
        <v>0</v>
      </c>
      <c r="BA84">
        <v>80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3673.53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1</v>
      </c>
      <c r="BQ84">
        <v>3673.53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1</v>
      </c>
      <c r="CV84">
        <v>0</v>
      </c>
      <c r="CW84">
        <v>0</v>
      </c>
      <c r="CX84">
        <f>ROUND(Y84*Source!I75,7)</f>
        <v>2.4242400000000002</v>
      </c>
      <c r="CY84">
        <f t="shared" si="38"/>
        <v>201.17</v>
      </c>
      <c r="CZ84">
        <f t="shared" si="39"/>
        <v>174.93</v>
      </c>
      <c r="DA84">
        <f t="shared" si="40"/>
        <v>1.1499999999999999</v>
      </c>
      <c r="DB84">
        <f t="shared" si="31"/>
        <v>3673.53</v>
      </c>
      <c r="DC84">
        <f t="shared" si="32"/>
        <v>0</v>
      </c>
      <c r="DD84" t="s">
        <v>3</v>
      </c>
      <c r="DE84" t="s">
        <v>3</v>
      </c>
      <c r="DF84">
        <f t="shared" si="41"/>
        <v>487.68</v>
      </c>
      <c r="DG84">
        <f t="shared" si="37"/>
        <v>0</v>
      </c>
      <c r="DH84">
        <f t="shared" si="27"/>
        <v>0</v>
      </c>
      <c r="DI84">
        <f t="shared" si="42"/>
        <v>0</v>
      </c>
      <c r="DJ84">
        <f t="shared" si="43"/>
        <v>487.68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ROW(Source!A75)</f>
        <v>75</v>
      </c>
      <c r="B85">
        <v>65170852</v>
      </c>
      <c r="C85">
        <v>65171145</v>
      </c>
      <c r="D85">
        <v>56580463</v>
      </c>
      <c r="E85">
        <v>1</v>
      </c>
      <c r="F85">
        <v>1</v>
      </c>
      <c r="G85">
        <v>1</v>
      </c>
      <c r="H85">
        <v>3</v>
      </c>
      <c r="I85" t="s">
        <v>556</v>
      </c>
      <c r="J85" t="s">
        <v>557</v>
      </c>
      <c r="K85" t="s">
        <v>558</v>
      </c>
      <c r="L85">
        <v>1348</v>
      </c>
      <c r="N85">
        <v>1009</v>
      </c>
      <c r="O85" t="s">
        <v>94</v>
      </c>
      <c r="P85" t="s">
        <v>94</v>
      </c>
      <c r="Q85">
        <v>1000</v>
      </c>
      <c r="W85">
        <v>0</v>
      </c>
      <c r="X85">
        <v>1609662124</v>
      </c>
      <c r="Y85">
        <f t="shared" si="30"/>
        <v>1.0000000000000001E-5</v>
      </c>
      <c r="AA85">
        <v>87870.25</v>
      </c>
      <c r="AB85">
        <v>0</v>
      </c>
      <c r="AC85">
        <v>0</v>
      </c>
      <c r="AD85">
        <v>0</v>
      </c>
      <c r="AE85">
        <v>70296.2</v>
      </c>
      <c r="AF85">
        <v>0</v>
      </c>
      <c r="AG85">
        <v>0</v>
      </c>
      <c r="AH85">
        <v>0</v>
      </c>
      <c r="AI85">
        <v>1.25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3</v>
      </c>
      <c r="AT85">
        <v>1.0000000000000001E-5</v>
      </c>
      <c r="AU85" t="s">
        <v>3</v>
      </c>
      <c r="AV85">
        <v>0</v>
      </c>
      <c r="AW85">
        <v>2</v>
      </c>
      <c r="AX85">
        <v>65171181</v>
      </c>
      <c r="AY85">
        <v>1</v>
      </c>
      <c r="AZ85">
        <v>0</v>
      </c>
      <c r="BA85">
        <v>81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0.70296199999999998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1</v>
      </c>
      <c r="BQ85">
        <v>0.70296199999999998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1</v>
      </c>
      <c r="CV85">
        <v>0</v>
      </c>
      <c r="CW85">
        <v>0</v>
      </c>
      <c r="CX85">
        <f>ROUND(Y85*Source!I75,7)</f>
        <v>1.1999999999999999E-6</v>
      </c>
      <c r="CY85">
        <f t="shared" si="38"/>
        <v>87870.25</v>
      </c>
      <c r="CZ85">
        <f t="shared" si="39"/>
        <v>70296.2</v>
      </c>
      <c r="DA85">
        <f t="shared" si="40"/>
        <v>1.25</v>
      </c>
      <c r="DB85">
        <f t="shared" si="31"/>
        <v>0.7</v>
      </c>
      <c r="DC85">
        <f t="shared" si="32"/>
        <v>0</v>
      </c>
      <c r="DD85" t="s">
        <v>3</v>
      </c>
      <c r="DE85" t="s">
        <v>3</v>
      </c>
      <c r="DF85">
        <f t="shared" si="41"/>
        <v>0.11</v>
      </c>
      <c r="DG85">
        <f t="shared" si="37"/>
        <v>0</v>
      </c>
      <c r="DH85">
        <f t="shared" si="27"/>
        <v>0</v>
      </c>
      <c r="DI85">
        <f t="shared" si="42"/>
        <v>0</v>
      </c>
      <c r="DJ85">
        <f t="shared" si="43"/>
        <v>0.11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ROW(Source!A75)</f>
        <v>75</v>
      </c>
      <c r="B86">
        <v>65170852</v>
      </c>
      <c r="C86">
        <v>65171145</v>
      </c>
      <c r="D86">
        <v>56582411</v>
      </c>
      <c r="E86">
        <v>1</v>
      </c>
      <c r="F86">
        <v>1</v>
      </c>
      <c r="G86">
        <v>1</v>
      </c>
      <c r="H86">
        <v>3</v>
      </c>
      <c r="I86" t="s">
        <v>559</v>
      </c>
      <c r="J86" t="s">
        <v>560</v>
      </c>
      <c r="K86" t="s">
        <v>561</v>
      </c>
      <c r="L86">
        <v>1348</v>
      </c>
      <c r="N86">
        <v>1009</v>
      </c>
      <c r="O86" t="s">
        <v>94</v>
      </c>
      <c r="P86" t="s">
        <v>94</v>
      </c>
      <c r="Q86">
        <v>1000</v>
      </c>
      <c r="W86">
        <v>0</v>
      </c>
      <c r="X86">
        <v>-6593219</v>
      </c>
      <c r="Y86">
        <f t="shared" si="30"/>
        <v>1E-4</v>
      </c>
      <c r="AA86">
        <v>322184.42</v>
      </c>
      <c r="AB86">
        <v>0</v>
      </c>
      <c r="AC86">
        <v>0</v>
      </c>
      <c r="AD86">
        <v>0</v>
      </c>
      <c r="AE86">
        <v>231787.35</v>
      </c>
      <c r="AF86">
        <v>0</v>
      </c>
      <c r="AG86">
        <v>0</v>
      </c>
      <c r="AH86">
        <v>0</v>
      </c>
      <c r="AI86">
        <v>1.39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3</v>
      </c>
      <c r="AT86">
        <v>1E-4</v>
      </c>
      <c r="AU86" t="s">
        <v>3</v>
      </c>
      <c r="AV86">
        <v>0</v>
      </c>
      <c r="AW86">
        <v>2</v>
      </c>
      <c r="AX86">
        <v>65171182</v>
      </c>
      <c r="AY86">
        <v>1</v>
      </c>
      <c r="AZ86">
        <v>0</v>
      </c>
      <c r="BA86">
        <v>82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23.178735000000003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23.178735000000003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v>0</v>
      </c>
      <c r="CX86">
        <f>ROUND(Y86*Source!I75,7)</f>
        <v>1.15E-5</v>
      </c>
      <c r="CY86">
        <f t="shared" si="38"/>
        <v>322184.42</v>
      </c>
      <c r="CZ86">
        <f t="shared" si="39"/>
        <v>231787.35</v>
      </c>
      <c r="DA86">
        <f t="shared" si="40"/>
        <v>1.39</v>
      </c>
      <c r="DB86">
        <f t="shared" si="31"/>
        <v>23.18</v>
      </c>
      <c r="DC86">
        <f t="shared" si="32"/>
        <v>0</v>
      </c>
      <c r="DD86" t="s">
        <v>3</v>
      </c>
      <c r="DE86" t="s">
        <v>3</v>
      </c>
      <c r="DF86">
        <f t="shared" si="41"/>
        <v>3.71</v>
      </c>
      <c r="DG86">
        <f t="shared" si="37"/>
        <v>0</v>
      </c>
      <c r="DH86">
        <f t="shared" si="27"/>
        <v>0</v>
      </c>
      <c r="DI86">
        <f t="shared" si="42"/>
        <v>0</v>
      </c>
      <c r="DJ86">
        <f t="shared" si="43"/>
        <v>3.71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ROW(Source!A75)</f>
        <v>75</v>
      </c>
      <c r="B87">
        <v>65170852</v>
      </c>
      <c r="C87">
        <v>65171145</v>
      </c>
      <c r="D87">
        <v>56219768</v>
      </c>
      <c r="E87">
        <v>108</v>
      </c>
      <c r="F87">
        <v>1</v>
      </c>
      <c r="G87">
        <v>1</v>
      </c>
      <c r="H87">
        <v>3</v>
      </c>
      <c r="I87" t="s">
        <v>562</v>
      </c>
      <c r="J87" t="s">
        <v>3</v>
      </c>
      <c r="K87" t="s">
        <v>563</v>
      </c>
      <c r="L87">
        <v>1348</v>
      </c>
      <c r="N87">
        <v>1009</v>
      </c>
      <c r="O87" t="s">
        <v>94</v>
      </c>
      <c r="P87" t="s">
        <v>94</v>
      </c>
      <c r="Q87">
        <v>1000</v>
      </c>
      <c r="W87">
        <v>0</v>
      </c>
      <c r="X87">
        <v>-1422279583</v>
      </c>
      <c r="Y87">
        <f t="shared" si="30"/>
        <v>1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1</v>
      </c>
      <c r="AU87" t="s">
        <v>3</v>
      </c>
      <c r="AV87">
        <v>0</v>
      </c>
      <c r="AW87">
        <v>2</v>
      </c>
      <c r="AX87">
        <v>65171183</v>
      </c>
      <c r="AY87">
        <v>1</v>
      </c>
      <c r="AZ87">
        <v>0</v>
      </c>
      <c r="BA87">
        <v>83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ROUND(Y87*Source!I75,7)</f>
        <v>0.11544</v>
      </c>
      <c r="CY87">
        <f t="shared" si="38"/>
        <v>0</v>
      </c>
      <c r="CZ87">
        <f t="shared" si="39"/>
        <v>0</v>
      </c>
      <c r="DA87">
        <f t="shared" si="40"/>
        <v>1</v>
      </c>
      <c r="DB87">
        <f t="shared" si="31"/>
        <v>0</v>
      </c>
      <c r="DC87">
        <f t="shared" si="32"/>
        <v>0</v>
      </c>
      <c r="DD87" t="s">
        <v>3</v>
      </c>
      <c r="DE87" t="s">
        <v>3</v>
      </c>
      <c r="DF87">
        <f>ROUND(ROUND(AE87,2)*CX87,2)</f>
        <v>0</v>
      </c>
      <c r="DG87">
        <f t="shared" si="37"/>
        <v>0</v>
      </c>
      <c r="DH87">
        <f t="shared" si="27"/>
        <v>0</v>
      </c>
      <c r="DI87">
        <f t="shared" si="42"/>
        <v>0</v>
      </c>
      <c r="DJ87">
        <f t="shared" si="43"/>
        <v>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ROW(Source!A75)</f>
        <v>75</v>
      </c>
      <c r="B88">
        <v>65170852</v>
      </c>
      <c r="C88">
        <v>65171145</v>
      </c>
      <c r="D88">
        <v>56588934</v>
      </c>
      <c r="E88">
        <v>1</v>
      </c>
      <c r="F88">
        <v>1</v>
      </c>
      <c r="G88">
        <v>1</v>
      </c>
      <c r="H88">
        <v>3</v>
      </c>
      <c r="I88" t="s">
        <v>564</v>
      </c>
      <c r="J88" t="s">
        <v>565</v>
      </c>
      <c r="K88" t="s">
        <v>566</v>
      </c>
      <c r="L88">
        <v>1348</v>
      </c>
      <c r="N88">
        <v>1009</v>
      </c>
      <c r="O88" t="s">
        <v>94</v>
      </c>
      <c r="P88" t="s">
        <v>94</v>
      </c>
      <c r="Q88">
        <v>1000</v>
      </c>
      <c r="W88">
        <v>0</v>
      </c>
      <c r="X88">
        <v>1416817269</v>
      </c>
      <c r="Y88">
        <f t="shared" si="30"/>
        <v>2.0000000000000001E-4</v>
      </c>
      <c r="AA88">
        <v>126334.57</v>
      </c>
      <c r="AB88">
        <v>0</v>
      </c>
      <c r="AC88">
        <v>0</v>
      </c>
      <c r="AD88">
        <v>0</v>
      </c>
      <c r="AE88">
        <v>105278.81</v>
      </c>
      <c r="AF88">
        <v>0</v>
      </c>
      <c r="AG88">
        <v>0</v>
      </c>
      <c r="AH88">
        <v>0</v>
      </c>
      <c r="AI88">
        <v>1.2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3</v>
      </c>
      <c r="AT88">
        <v>2.0000000000000001E-4</v>
      </c>
      <c r="AU88" t="s">
        <v>3</v>
      </c>
      <c r="AV88">
        <v>0</v>
      </c>
      <c r="AW88">
        <v>2</v>
      </c>
      <c r="AX88">
        <v>65171184</v>
      </c>
      <c r="AY88">
        <v>1</v>
      </c>
      <c r="AZ88">
        <v>0</v>
      </c>
      <c r="BA88">
        <v>84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21.055762000000001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1</v>
      </c>
      <c r="BQ88">
        <v>21.055762000000001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1</v>
      </c>
      <c r="CV88">
        <v>0</v>
      </c>
      <c r="CW88">
        <v>0</v>
      </c>
      <c r="CX88">
        <f>ROUND(Y88*Source!I75,7)</f>
        <v>2.3099999999999999E-5</v>
      </c>
      <c r="CY88">
        <f t="shared" si="38"/>
        <v>126334.57</v>
      </c>
      <c r="CZ88">
        <f t="shared" si="39"/>
        <v>105278.81</v>
      </c>
      <c r="DA88">
        <f t="shared" si="40"/>
        <v>1.2</v>
      </c>
      <c r="DB88">
        <f t="shared" si="31"/>
        <v>21.06</v>
      </c>
      <c r="DC88">
        <f t="shared" si="32"/>
        <v>0</v>
      </c>
      <c r="DD88" t="s">
        <v>3</v>
      </c>
      <c r="DE88" t="s">
        <v>3</v>
      </c>
      <c r="DF88">
        <f>ROUND(ROUND(AE88*AI88,2)*CX88,2)</f>
        <v>2.92</v>
      </c>
      <c r="DG88">
        <f t="shared" si="37"/>
        <v>0</v>
      </c>
      <c r="DH88">
        <f t="shared" si="27"/>
        <v>0</v>
      </c>
      <c r="DI88">
        <f t="shared" si="42"/>
        <v>0</v>
      </c>
      <c r="DJ88">
        <f t="shared" si="43"/>
        <v>2.92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ROW(Source!A75)</f>
        <v>75</v>
      </c>
      <c r="B89">
        <v>65170852</v>
      </c>
      <c r="C89">
        <v>65171145</v>
      </c>
      <c r="D89">
        <v>56592211</v>
      </c>
      <c r="E89">
        <v>1</v>
      </c>
      <c r="F89">
        <v>1</v>
      </c>
      <c r="G89">
        <v>1</v>
      </c>
      <c r="H89">
        <v>3</v>
      </c>
      <c r="I89" t="s">
        <v>567</v>
      </c>
      <c r="J89" t="s">
        <v>568</v>
      </c>
      <c r="K89" t="s">
        <v>569</v>
      </c>
      <c r="L89">
        <v>1302</v>
      </c>
      <c r="N89">
        <v>1003</v>
      </c>
      <c r="O89" t="s">
        <v>570</v>
      </c>
      <c r="P89" t="s">
        <v>570</v>
      </c>
      <c r="Q89">
        <v>10</v>
      </c>
      <c r="W89">
        <v>0</v>
      </c>
      <c r="X89">
        <v>-779675230</v>
      </c>
      <c r="Y89">
        <f t="shared" si="30"/>
        <v>1.8700000000000001E-2</v>
      </c>
      <c r="AA89">
        <v>301.68</v>
      </c>
      <c r="AB89">
        <v>0</v>
      </c>
      <c r="AC89">
        <v>0</v>
      </c>
      <c r="AD89">
        <v>0</v>
      </c>
      <c r="AE89">
        <v>307.83999999999997</v>
      </c>
      <c r="AF89">
        <v>0</v>
      </c>
      <c r="AG89">
        <v>0</v>
      </c>
      <c r="AH89">
        <v>0</v>
      </c>
      <c r="AI89">
        <v>0.98</v>
      </c>
      <c r="AJ89">
        <v>1</v>
      </c>
      <c r="AK89">
        <v>1</v>
      </c>
      <c r="AL89">
        <v>1</v>
      </c>
      <c r="AM89">
        <v>2</v>
      </c>
      <c r="AN89">
        <v>0</v>
      </c>
      <c r="AO89">
        <v>0</v>
      </c>
      <c r="AP89">
        <v>1</v>
      </c>
      <c r="AQ89">
        <v>1</v>
      </c>
      <c r="AR89">
        <v>0</v>
      </c>
      <c r="AS89" t="s">
        <v>3</v>
      </c>
      <c r="AT89">
        <v>1.8700000000000001E-2</v>
      </c>
      <c r="AU89" t="s">
        <v>3</v>
      </c>
      <c r="AV89">
        <v>0</v>
      </c>
      <c r="AW89">
        <v>2</v>
      </c>
      <c r="AX89">
        <v>65171185</v>
      </c>
      <c r="AY89">
        <v>1</v>
      </c>
      <c r="AZ89">
        <v>0</v>
      </c>
      <c r="BA89">
        <v>85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5.7566079999999999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1</v>
      </c>
      <c r="BQ89">
        <v>5.7566079999999999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1</v>
      </c>
      <c r="CV89">
        <v>0</v>
      </c>
      <c r="CW89">
        <v>0</v>
      </c>
      <c r="CX89">
        <f>ROUND(Y89*Source!I75,7)</f>
        <v>2.1586999999999999E-3</v>
      </c>
      <c r="CY89">
        <f t="shared" si="38"/>
        <v>301.68</v>
      </c>
      <c r="CZ89">
        <f t="shared" si="39"/>
        <v>307.83999999999997</v>
      </c>
      <c r="DA89">
        <f t="shared" si="40"/>
        <v>0.98</v>
      </c>
      <c r="DB89">
        <f t="shared" si="31"/>
        <v>5.76</v>
      </c>
      <c r="DC89">
        <f t="shared" si="32"/>
        <v>0</v>
      </c>
      <c r="DD89" t="s">
        <v>3</v>
      </c>
      <c r="DE89" t="s">
        <v>3</v>
      </c>
      <c r="DF89">
        <f>ROUND(ROUND(AE89*AI89,2)*CX89,2)</f>
        <v>0.65</v>
      </c>
      <c r="DG89">
        <f t="shared" si="37"/>
        <v>0</v>
      </c>
      <c r="DH89">
        <f t="shared" si="27"/>
        <v>0</v>
      </c>
      <c r="DI89">
        <f t="shared" si="42"/>
        <v>0</v>
      </c>
      <c r="DJ89">
        <f t="shared" si="43"/>
        <v>0.65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ROW(Source!A75)</f>
        <v>75</v>
      </c>
      <c r="B90">
        <v>65170852</v>
      </c>
      <c r="C90">
        <v>65171145</v>
      </c>
      <c r="D90">
        <v>56592477</v>
      </c>
      <c r="E90">
        <v>1</v>
      </c>
      <c r="F90">
        <v>1</v>
      </c>
      <c r="G90">
        <v>1</v>
      </c>
      <c r="H90">
        <v>3</v>
      </c>
      <c r="I90" t="s">
        <v>571</v>
      </c>
      <c r="J90" t="s">
        <v>572</v>
      </c>
      <c r="K90" t="s">
        <v>573</v>
      </c>
      <c r="L90">
        <v>1348</v>
      </c>
      <c r="N90">
        <v>1009</v>
      </c>
      <c r="O90" t="s">
        <v>94</v>
      </c>
      <c r="P90" t="s">
        <v>94</v>
      </c>
      <c r="Q90">
        <v>1000</v>
      </c>
      <c r="W90">
        <v>0</v>
      </c>
      <c r="X90">
        <v>1697833507</v>
      </c>
      <c r="Y90">
        <f t="shared" si="30"/>
        <v>3.0000000000000001E-5</v>
      </c>
      <c r="AA90">
        <v>63873.69</v>
      </c>
      <c r="AB90">
        <v>0</v>
      </c>
      <c r="AC90">
        <v>0</v>
      </c>
      <c r="AD90">
        <v>0</v>
      </c>
      <c r="AE90">
        <v>60258.2</v>
      </c>
      <c r="AF90">
        <v>0</v>
      </c>
      <c r="AG90">
        <v>0</v>
      </c>
      <c r="AH90">
        <v>0</v>
      </c>
      <c r="AI90">
        <v>1.06</v>
      </c>
      <c r="AJ90">
        <v>1</v>
      </c>
      <c r="AK90">
        <v>1</v>
      </c>
      <c r="AL90">
        <v>1</v>
      </c>
      <c r="AM90">
        <v>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3</v>
      </c>
      <c r="AT90">
        <v>3.0000000000000001E-5</v>
      </c>
      <c r="AU90" t="s">
        <v>3</v>
      </c>
      <c r="AV90">
        <v>0</v>
      </c>
      <c r="AW90">
        <v>2</v>
      </c>
      <c r="AX90">
        <v>65171186</v>
      </c>
      <c r="AY90">
        <v>1</v>
      </c>
      <c r="AZ90">
        <v>0</v>
      </c>
      <c r="BA90">
        <v>86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1.8077459999999999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1</v>
      </c>
      <c r="BQ90">
        <v>1.8077459999999999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1</v>
      </c>
      <c r="CV90">
        <v>0</v>
      </c>
      <c r="CW90">
        <v>0</v>
      </c>
      <c r="CX90">
        <f>ROUND(Y90*Source!I75,7)</f>
        <v>3.4999999999999999E-6</v>
      </c>
      <c r="CY90">
        <f t="shared" si="38"/>
        <v>63873.69</v>
      </c>
      <c r="CZ90">
        <f t="shared" si="39"/>
        <v>60258.2</v>
      </c>
      <c r="DA90">
        <f t="shared" si="40"/>
        <v>1.06</v>
      </c>
      <c r="DB90">
        <f t="shared" si="31"/>
        <v>1.81</v>
      </c>
      <c r="DC90">
        <f t="shared" si="32"/>
        <v>0</v>
      </c>
      <c r="DD90" t="s">
        <v>3</v>
      </c>
      <c r="DE90" t="s">
        <v>3</v>
      </c>
      <c r="DF90">
        <f>ROUND(ROUND(AE90*AI90,2)*CX90,2)</f>
        <v>0.22</v>
      </c>
      <c r="DG90">
        <f t="shared" si="37"/>
        <v>0</v>
      </c>
      <c r="DH90">
        <f t="shared" si="27"/>
        <v>0</v>
      </c>
      <c r="DI90">
        <f t="shared" si="42"/>
        <v>0</v>
      </c>
      <c r="DJ90">
        <f t="shared" si="43"/>
        <v>0.22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ROW(Source!A75)</f>
        <v>75</v>
      </c>
      <c r="B91">
        <v>65170852</v>
      </c>
      <c r="C91">
        <v>65171145</v>
      </c>
      <c r="D91">
        <v>56593192</v>
      </c>
      <c r="E91">
        <v>1</v>
      </c>
      <c r="F91">
        <v>1</v>
      </c>
      <c r="G91">
        <v>1</v>
      </c>
      <c r="H91">
        <v>3</v>
      </c>
      <c r="I91" t="s">
        <v>160</v>
      </c>
      <c r="J91" t="s">
        <v>162</v>
      </c>
      <c r="K91" t="s">
        <v>161</v>
      </c>
      <c r="L91">
        <v>1348</v>
      </c>
      <c r="N91">
        <v>1009</v>
      </c>
      <c r="O91" t="s">
        <v>94</v>
      </c>
      <c r="P91" t="s">
        <v>94</v>
      </c>
      <c r="Q91">
        <v>1000</v>
      </c>
      <c r="W91">
        <v>0</v>
      </c>
      <c r="X91">
        <v>217053797</v>
      </c>
      <c r="Y91">
        <f t="shared" si="30"/>
        <v>1</v>
      </c>
      <c r="AA91">
        <v>60419.11</v>
      </c>
      <c r="AB91">
        <v>0</v>
      </c>
      <c r="AC91">
        <v>0</v>
      </c>
      <c r="AD91">
        <v>0</v>
      </c>
      <c r="AE91">
        <v>60419.11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0</v>
      </c>
      <c r="AQ91">
        <v>0</v>
      </c>
      <c r="AR91">
        <v>0</v>
      </c>
      <c r="AS91" t="s">
        <v>3</v>
      </c>
      <c r="AT91">
        <v>1</v>
      </c>
      <c r="AU91" t="s">
        <v>3</v>
      </c>
      <c r="AV91">
        <v>0</v>
      </c>
      <c r="AW91">
        <v>1</v>
      </c>
      <c r="AX91">
        <v>-1</v>
      </c>
      <c r="AY91">
        <v>0</v>
      </c>
      <c r="AZ91">
        <v>0</v>
      </c>
      <c r="BA91" t="s">
        <v>3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ROUND(Y91*Source!I75,7)</f>
        <v>0.11544</v>
      </c>
      <c r="CY91">
        <f t="shared" si="38"/>
        <v>60419.11</v>
      </c>
      <c r="CZ91">
        <f t="shared" si="39"/>
        <v>60419.11</v>
      </c>
      <c r="DA91">
        <f t="shared" si="40"/>
        <v>1</v>
      </c>
      <c r="DB91">
        <f t="shared" si="31"/>
        <v>60419.11</v>
      </c>
      <c r="DC91">
        <f t="shared" si="32"/>
        <v>0</v>
      </c>
      <c r="DD91" t="s">
        <v>3</v>
      </c>
      <c r="DE91" t="s">
        <v>3</v>
      </c>
      <c r="DF91">
        <f>ROUND(ROUND(AE91,2)*CX91,2)</f>
        <v>6974.78</v>
      </c>
      <c r="DG91">
        <f t="shared" si="37"/>
        <v>0</v>
      </c>
      <c r="DH91">
        <f t="shared" si="27"/>
        <v>0</v>
      </c>
      <c r="DI91">
        <f t="shared" si="42"/>
        <v>0</v>
      </c>
      <c r="DJ91">
        <f t="shared" si="43"/>
        <v>6974.78</v>
      </c>
      <c r="DK91">
        <v>1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ROW(Source!A75)</f>
        <v>75</v>
      </c>
      <c r="B92">
        <v>65170852</v>
      </c>
      <c r="C92">
        <v>65171145</v>
      </c>
      <c r="D92">
        <v>56593339</v>
      </c>
      <c r="E92">
        <v>1</v>
      </c>
      <c r="F92">
        <v>1</v>
      </c>
      <c r="G92">
        <v>1</v>
      </c>
      <c r="H92">
        <v>3</v>
      </c>
      <c r="I92" t="s">
        <v>574</v>
      </c>
      <c r="J92" t="s">
        <v>575</v>
      </c>
      <c r="K92" t="s">
        <v>576</v>
      </c>
      <c r="L92">
        <v>1348</v>
      </c>
      <c r="N92">
        <v>1009</v>
      </c>
      <c r="O92" t="s">
        <v>94</v>
      </c>
      <c r="P92" t="s">
        <v>94</v>
      </c>
      <c r="Q92">
        <v>1000</v>
      </c>
      <c r="W92">
        <v>0</v>
      </c>
      <c r="X92">
        <v>817581059</v>
      </c>
      <c r="Y92">
        <f t="shared" si="30"/>
        <v>1.9400000000000001E-3</v>
      </c>
      <c r="AA92">
        <v>153171.20000000001</v>
      </c>
      <c r="AB92">
        <v>0</v>
      </c>
      <c r="AC92">
        <v>0</v>
      </c>
      <c r="AD92">
        <v>0</v>
      </c>
      <c r="AE92">
        <v>136760</v>
      </c>
      <c r="AF92">
        <v>0</v>
      </c>
      <c r="AG92">
        <v>0</v>
      </c>
      <c r="AH92">
        <v>0</v>
      </c>
      <c r="AI92">
        <v>1.1200000000000001</v>
      </c>
      <c r="AJ92">
        <v>1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3</v>
      </c>
      <c r="AT92">
        <v>1.9400000000000001E-3</v>
      </c>
      <c r="AU92" t="s">
        <v>3</v>
      </c>
      <c r="AV92">
        <v>0</v>
      </c>
      <c r="AW92">
        <v>2</v>
      </c>
      <c r="AX92">
        <v>65171187</v>
      </c>
      <c r="AY92">
        <v>1</v>
      </c>
      <c r="AZ92">
        <v>0</v>
      </c>
      <c r="BA92">
        <v>87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265.31440000000003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1</v>
      </c>
      <c r="BQ92">
        <v>265.31440000000003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1</v>
      </c>
      <c r="CV92">
        <v>0</v>
      </c>
      <c r="CW92">
        <v>0</v>
      </c>
      <c r="CX92">
        <f>ROUND(Y92*Source!I75,7)</f>
        <v>2.24E-4</v>
      </c>
      <c r="CY92">
        <f t="shared" si="38"/>
        <v>153171.20000000001</v>
      </c>
      <c r="CZ92">
        <f t="shared" si="39"/>
        <v>136760</v>
      </c>
      <c r="DA92">
        <f t="shared" si="40"/>
        <v>1.1200000000000001</v>
      </c>
      <c r="DB92">
        <f t="shared" si="31"/>
        <v>265.31</v>
      </c>
      <c r="DC92">
        <f t="shared" si="32"/>
        <v>0</v>
      </c>
      <c r="DD92" t="s">
        <v>3</v>
      </c>
      <c r="DE92" t="s">
        <v>3</v>
      </c>
      <c r="DF92">
        <f>ROUND(ROUND(AE92*AI92,2)*CX92,2)</f>
        <v>34.31</v>
      </c>
      <c r="DG92">
        <f t="shared" si="37"/>
        <v>0</v>
      </c>
      <c r="DH92">
        <f t="shared" si="27"/>
        <v>0</v>
      </c>
      <c r="DI92">
        <f t="shared" si="42"/>
        <v>0</v>
      </c>
      <c r="DJ92">
        <f t="shared" si="43"/>
        <v>34.31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ROW(Source!A75)</f>
        <v>75</v>
      </c>
      <c r="B93">
        <v>65170852</v>
      </c>
      <c r="C93">
        <v>65171145</v>
      </c>
      <c r="D93">
        <v>56595823</v>
      </c>
      <c r="E93">
        <v>1</v>
      </c>
      <c r="F93">
        <v>1</v>
      </c>
      <c r="G93">
        <v>1</v>
      </c>
      <c r="H93">
        <v>3</v>
      </c>
      <c r="I93" t="s">
        <v>577</v>
      </c>
      <c r="J93" t="s">
        <v>578</v>
      </c>
      <c r="K93" t="s">
        <v>579</v>
      </c>
      <c r="L93">
        <v>1339</v>
      </c>
      <c r="N93">
        <v>1007</v>
      </c>
      <c r="O93" t="s">
        <v>129</v>
      </c>
      <c r="P93" t="s">
        <v>129</v>
      </c>
      <c r="Q93">
        <v>1</v>
      </c>
      <c r="W93">
        <v>0</v>
      </c>
      <c r="X93">
        <v>173799858</v>
      </c>
      <c r="Y93">
        <f t="shared" si="30"/>
        <v>1.0300000000000001E-3</v>
      </c>
      <c r="AA93">
        <v>12866.9</v>
      </c>
      <c r="AB93">
        <v>0</v>
      </c>
      <c r="AC93">
        <v>0</v>
      </c>
      <c r="AD93">
        <v>0</v>
      </c>
      <c r="AE93">
        <v>16496.03</v>
      </c>
      <c r="AF93">
        <v>0</v>
      </c>
      <c r="AG93">
        <v>0</v>
      </c>
      <c r="AH93">
        <v>0</v>
      </c>
      <c r="AI93">
        <v>0.78</v>
      </c>
      <c r="AJ93">
        <v>1</v>
      </c>
      <c r="AK93">
        <v>1</v>
      </c>
      <c r="AL93">
        <v>1</v>
      </c>
      <c r="AM93">
        <v>2</v>
      </c>
      <c r="AN93">
        <v>0</v>
      </c>
      <c r="AO93">
        <v>0</v>
      </c>
      <c r="AP93">
        <v>1</v>
      </c>
      <c r="AQ93">
        <v>1</v>
      </c>
      <c r="AR93">
        <v>0</v>
      </c>
      <c r="AS93" t="s">
        <v>3</v>
      </c>
      <c r="AT93">
        <v>1.0300000000000001E-3</v>
      </c>
      <c r="AU93" t="s">
        <v>3</v>
      </c>
      <c r="AV93">
        <v>0</v>
      </c>
      <c r="AW93">
        <v>2</v>
      </c>
      <c r="AX93">
        <v>65171188</v>
      </c>
      <c r="AY93">
        <v>1</v>
      </c>
      <c r="AZ93">
        <v>0</v>
      </c>
      <c r="BA93">
        <v>88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16.990910899999999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1</v>
      </c>
      <c r="BQ93">
        <v>16.990910899999999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1</v>
      </c>
      <c r="CV93">
        <v>0</v>
      </c>
      <c r="CW93">
        <v>0</v>
      </c>
      <c r="CX93">
        <f>ROUND(Y93*Source!I75,7)</f>
        <v>1.189E-4</v>
      </c>
      <c r="CY93">
        <f t="shared" si="38"/>
        <v>12866.9</v>
      </c>
      <c r="CZ93">
        <f t="shared" si="39"/>
        <v>16496.03</v>
      </c>
      <c r="DA93">
        <f t="shared" si="40"/>
        <v>0.78</v>
      </c>
      <c r="DB93">
        <f t="shared" si="31"/>
        <v>16.989999999999998</v>
      </c>
      <c r="DC93">
        <f t="shared" si="32"/>
        <v>0</v>
      </c>
      <c r="DD93" t="s">
        <v>3</v>
      </c>
      <c r="DE93" t="s">
        <v>3</v>
      </c>
      <c r="DF93">
        <f>ROUND(ROUND(AE93*AI93,2)*CX93,2)</f>
        <v>1.53</v>
      </c>
      <c r="DG93">
        <f t="shared" si="37"/>
        <v>0</v>
      </c>
      <c r="DH93">
        <f t="shared" si="27"/>
        <v>0</v>
      </c>
      <c r="DI93">
        <f t="shared" si="42"/>
        <v>0</v>
      </c>
      <c r="DJ93">
        <f t="shared" si="43"/>
        <v>1.53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ROW(Source!A75)</f>
        <v>75</v>
      </c>
      <c r="B94">
        <v>65170852</v>
      </c>
      <c r="C94">
        <v>65171145</v>
      </c>
      <c r="D94">
        <v>56609935</v>
      </c>
      <c r="E94">
        <v>1</v>
      </c>
      <c r="F94">
        <v>1</v>
      </c>
      <c r="G94">
        <v>1</v>
      </c>
      <c r="H94">
        <v>3</v>
      </c>
      <c r="I94" t="s">
        <v>580</v>
      </c>
      <c r="J94" t="s">
        <v>581</v>
      </c>
      <c r="K94" t="s">
        <v>582</v>
      </c>
      <c r="L94">
        <v>1348</v>
      </c>
      <c r="N94">
        <v>1009</v>
      </c>
      <c r="O94" t="s">
        <v>94</v>
      </c>
      <c r="P94" t="s">
        <v>94</v>
      </c>
      <c r="Q94">
        <v>1000</v>
      </c>
      <c r="W94">
        <v>0</v>
      </c>
      <c r="X94">
        <v>-269680440</v>
      </c>
      <c r="Y94">
        <f t="shared" si="30"/>
        <v>3.1E-4</v>
      </c>
      <c r="AA94">
        <v>75894.62</v>
      </c>
      <c r="AB94">
        <v>0</v>
      </c>
      <c r="AC94">
        <v>0</v>
      </c>
      <c r="AD94">
        <v>0</v>
      </c>
      <c r="AE94">
        <v>51280.15</v>
      </c>
      <c r="AF94">
        <v>0</v>
      </c>
      <c r="AG94">
        <v>0</v>
      </c>
      <c r="AH94">
        <v>0</v>
      </c>
      <c r="AI94">
        <v>1.48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3</v>
      </c>
      <c r="AT94">
        <v>3.1E-4</v>
      </c>
      <c r="AU94" t="s">
        <v>3</v>
      </c>
      <c r="AV94">
        <v>0</v>
      </c>
      <c r="AW94">
        <v>2</v>
      </c>
      <c r="AX94">
        <v>65171189</v>
      </c>
      <c r="AY94">
        <v>1</v>
      </c>
      <c r="AZ94">
        <v>0</v>
      </c>
      <c r="BA94">
        <v>89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15.896846500000001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15.896846500000001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1</v>
      </c>
      <c r="CV94">
        <v>0</v>
      </c>
      <c r="CW94">
        <v>0</v>
      </c>
      <c r="CX94">
        <f>ROUND(Y94*Source!I75,7)</f>
        <v>3.5800000000000003E-5</v>
      </c>
      <c r="CY94">
        <f t="shared" si="38"/>
        <v>75894.62</v>
      </c>
      <c r="CZ94">
        <f t="shared" si="39"/>
        <v>51280.15</v>
      </c>
      <c r="DA94">
        <f t="shared" si="40"/>
        <v>1.48</v>
      </c>
      <c r="DB94">
        <f t="shared" si="31"/>
        <v>15.9</v>
      </c>
      <c r="DC94">
        <f t="shared" si="32"/>
        <v>0</v>
      </c>
      <c r="DD94" t="s">
        <v>3</v>
      </c>
      <c r="DE94" t="s">
        <v>3</v>
      </c>
      <c r="DF94">
        <f>ROUND(ROUND(AE94*AI94,2)*CX94,2)</f>
        <v>2.72</v>
      </c>
      <c r="DG94">
        <f t="shared" si="37"/>
        <v>0</v>
      </c>
      <c r="DH94">
        <f t="shared" si="27"/>
        <v>0</v>
      </c>
      <c r="DI94">
        <f t="shared" si="42"/>
        <v>0</v>
      </c>
      <c r="DJ94">
        <f t="shared" si="43"/>
        <v>2.72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ROW(Source!A75)</f>
        <v>75</v>
      </c>
      <c r="B95">
        <v>65170852</v>
      </c>
      <c r="C95">
        <v>65171145</v>
      </c>
      <c r="D95">
        <v>56610694</v>
      </c>
      <c r="E95">
        <v>1</v>
      </c>
      <c r="F95">
        <v>1</v>
      </c>
      <c r="G95">
        <v>1</v>
      </c>
      <c r="H95">
        <v>3</v>
      </c>
      <c r="I95" t="s">
        <v>583</v>
      </c>
      <c r="J95" t="s">
        <v>584</v>
      </c>
      <c r="K95" t="s">
        <v>585</v>
      </c>
      <c r="L95">
        <v>1348</v>
      </c>
      <c r="N95">
        <v>1009</v>
      </c>
      <c r="O95" t="s">
        <v>94</v>
      </c>
      <c r="P95" t="s">
        <v>94</v>
      </c>
      <c r="Q95">
        <v>1000</v>
      </c>
      <c r="W95">
        <v>0</v>
      </c>
      <c r="X95">
        <v>1817492508</v>
      </c>
      <c r="Y95">
        <f t="shared" si="30"/>
        <v>5.9999999999999995E-4</v>
      </c>
      <c r="AA95">
        <v>125128.59</v>
      </c>
      <c r="AB95">
        <v>0</v>
      </c>
      <c r="AC95">
        <v>0</v>
      </c>
      <c r="AD95">
        <v>0</v>
      </c>
      <c r="AE95">
        <v>98526.45</v>
      </c>
      <c r="AF95">
        <v>0</v>
      </c>
      <c r="AG95">
        <v>0</v>
      </c>
      <c r="AH95">
        <v>0</v>
      </c>
      <c r="AI95">
        <v>1.27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3</v>
      </c>
      <c r="AT95">
        <v>5.9999999999999995E-4</v>
      </c>
      <c r="AU95" t="s">
        <v>3</v>
      </c>
      <c r="AV95">
        <v>0</v>
      </c>
      <c r="AW95">
        <v>2</v>
      </c>
      <c r="AX95">
        <v>65171190</v>
      </c>
      <c r="AY95">
        <v>1</v>
      </c>
      <c r="AZ95">
        <v>0</v>
      </c>
      <c r="BA95">
        <v>90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59.115869999999994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59.115869999999994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1</v>
      </c>
      <c r="CV95">
        <v>0</v>
      </c>
      <c r="CW95">
        <v>0</v>
      </c>
      <c r="CX95">
        <f>ROUND(Y95*Source!I75,7)</f>
        <v>6.9300000000000004E-5</v>
      </c>
      <c r="CY95">
        <f t="shared" si="38"/>
        <v>125128.59</v>
      </c>
      <c r="CZ95">
        <f t="shared" si="39"/>
        <v>98526.45</v>
      </c>
      <c r="DA95">
        <f t="shared" si="40"/>
        <v>1.27</v>
      </c>
      <c r="DB95">
        <f t="shared" si="31"/>
        <v>59.12</v>
      </c>
      <c r="DC95">
        <f t="shared" si="32"/>
        <v>0</v>
      </c>
      <c r="DD95" t="s">
        <v>3</v>
      </c>
      <c r="DE95" t="s">
        <v>3</v>
      </c>
      <c r="DF95">
        <f>ROUND(ROUND(AE95*AI95,2)*CX95,2)</f>
        <v>8.67</v>
      </c>
      <c r="DG95">
        <f t="shared" si="37"/>
        <v>0</v>
      </c>
      <c r="DH95">
        <f t="shared" si="27"/>
        <v>0</v>
      </c>
      <c r="DI95">
        <f t="shared" si="42"/>
        <v>0</v>
      </c>
      <c r="DJ95">
        <f t="shared" si="43"/>
        <v>8.67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ROW(Source!A77)</f>
        <v>77</v>
      </c>
      <c r="B96">
        <v>65170852</v>
      </c>
      <c r="C96">
        <v>65171192</v>
      </c>
      <c r="D96">
        <v>37070202</v>
      </c>
      <c r="E96">
        <v>108</v>
      </c>
      <c r="F96">
        <v>1</v>
      </c>
      <c r="G96">
        <v>1</v>
      </c>
      <c r="H96">
        <v>1</v>
      </c>
      <c r="I96" t="s">
        <v>604</v>
      </c>
      <c r="J96" t="s">
        <v>3</v>
      </c>
      <c r="K96" t="s">
        <v>605</v>
      </c>
      <c r="L96">
        <v>1191</v>
      </c>
      <c r="N96">
        <v>1013</v>
      </c>
      <c r="O96" t="s">
        <v>509</v>
      </c>
      <c r="P96" t="s">
        <v>509</v>
      </c>
      <c r="Q96">
        <v>1</v>
      </c>
      <c r="W96">
        <v>0</v>
      </c>
      <c r="X96">
        <v>1608048003</v>
      </c>
      <c r="Y96">
        <f t="shared" si="30"/>
        <v>46.8</v>
      </c>
      <c r="AA96">
        <v>0</v>
      </c>
      <c r="AB96">
        <v>0</v>
      </c>
      <c r="AC96">
        <v>0</v>
      </c>
      <c r="AD96">
        <v>485.06</v>
      </c>
      <c r="AE96">
        <v>0</v>
      </c>
      <c r="AF96">
        <v>0</v>
      </c>
      <c r="AG96">
        <v>0</v>
      </c>
      <c r="AH96">
        <v>485.06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3</v>
      </c>
      <c r="AT96">
        <v>46.8</v>
      </c>
      <c r="AU96" t="s">
        <v>3</v>
      </c>
      <c r="AV96">
        <v>1</v>
      </c>
      <c r="AW96">
        <v>2</v>
      </c>
      <c r="AX96">
        <v>65171201</v>
      </c>
      <c r="AY96">
        <v>1</v>
      </c>
      <c r="AZ96">
        <v>0</v>
      </c>
      <c r="BA96">
        <v>91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22700.807999999997</v>
      </c>
      <c r="BN96">
        <v>46.8</v>
      </c>
      <c r="BO96">
        <v>0</v>
      </c>
      <c r="BP96">
        <v>1</v>
      </c>
      <c r="BQ96">
        <v>0</v>
      </c>
      <c r="BR96">
        <v>0</v>
      </c>
      <c r="BS96">
        <v>0</v>
      </c>
      <c r="BT96">
        <v>22700.807999999997</v>
      </c>
      <c r="BU96">
        <v>46.8</v>
      </c>
      <c r="BV96">
        <v>0</v>
      </c>
      <c r="BW96">
        <v>1</v>
      </c>
      <c r="CU96">
        <f>ROUND(AT96*Source!I77*AH96*AL96,2)</f>
        <v>18573.8</v>
      </c>
      <c r="CV96">
        <f>ROUND(Y96*Source!I77,7)</f>
        <v>38.291759999999996</v>
      </c>
      <c r="CW96">
        <v>0</v>
      </c>
      <c r="CX96">
        <f>ROUND(Y96*Source!I77,7)</f>
        <v>38.291759999999996</v>
      </c>
      <c r="CY96">
        <f>AD96</f>
        <v>485.06</v>
      </c>
      <c r="CZ96">
        <f>AH96</f>
        <v>485.06</v>
      </c>
      <c r="DA96">
        <f>AL96</f>
        <v>1</v>
      </c>
      <c r="DB96">
        <f t="shared" si="31"/>
        <v>22700.81</v>
      </c>
      <c r="DC96">
        <f t="shared" si="32"/>
        <v>0</v>
      </c>
      <c r="DD96" t="s">
        <v>3</v>
      </c>
      <c r="DE96" t="s">
        <v>3</v>
      </c>
      <c r="DF96">
        <f t="shared" ref="DF96:DF101" si="44">ROUND(ROUND(AE96,2)*CX96,2)</f>
        <v>0</v>
      </c>
      <c r="DG96">
        <f t="shared" si="37"/>
        <v>0</v>
      </c>
      <c r="DH96">
        <f t="shared" si="27"/>
        <v>0</v>
      </c>
      <c r="DI96">
        <f t="shared" si="42"/>
        <v>18573.8</v>
      </c>
      <c r="DJ96">
        <f>DI96</f>
        <v>18573.8</v>
      </c>
      <c r="DK96">
        <v>1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ROW(Source!A77)</f>
        <v>77</v>
      </c>
      <c r="B97">
        <v>65170852</v>
      </c>
      <c r="C97">
        <v>65171192</v>
      </c>
      <c r="D97">
        <v>37064876</v>
      </c>
      <c r="E97">
        <v>108</v>
      </c>
      <c r="F97">
        <v>1</v>
      </c>
      <c r="G97">
        <v>1</v>
      </c>
      <c r="H97">
        <v>1</v>
      </c>
      <c r="I97" t="s">
        <v>510</v>
      </c>
      <c r="J97" t="s">
        <v>3</v>
      </c>
      <c r="K97" t="s">
        <v>511</v>
      </c>
      <c r="L97">
        <v>1191</v>
      </c>
      <c r="N97">
        <v>1013</v>
      </c>
      <c r="O97" t="s">
        <v>509</v>
      </c>
      <c r="P97" t="s">
        <v>509</v>
      </c>
      <c r="Q97">
        <v>1</v>
      </c>
      <c r="W97">
        <v>0</v>
      </c>
      <c r="X97">
        <v>-1417349443</v>
      </c>
      <c r="Y97">
        <f t="shared" si="30"/>
        <v>0.55000000000000004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0</v>
      </c>
      <c r="AP97">
        <v>1</v>
      </c>
      <c r="AQ97">
        <v>1</v>
      </c>
      <c r="AR97">
        <v>0</v>
      </c>
      <c r="AS97" t="s">
        <v>3</v>
      </c>
      <c r="AT97">
        <v>0.55000000000000004</v>
      </c>
      <c r="AU97" t="s">
        <v>3</v>
      </c>
      <c r="AV97">
        <v>2</v>
      </c>
      <c r="AW97">
        <v>2</v>
      </c>
      <c r="AX97">
        <v>65171202</v>
      </c>
      <c r="AY97">
        <v>1</v>
      </c>
      <c r="AZ97">
        <v>0</v>
      </c>
      <c r="BA97">
        <v>92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ROUND(Y97*Source!I77,7)</f>
        <v>0.45001000000000002</v>
      </c>
      <c r="CY97">
        <f>AD97</f>
        <v>0</v>
      </c>
      <c r="CZ97">
        <f>AH97</f>
        <v>0</v>
      </c>
      <c r="DA97">
        <f>AL97</f>
        <v>1</v>
      </c>
      <c r="DB97">
        <f t="shared" si="31"/>
        <v>0</v>
      </c>
      <c r="DC97">
        <f t="shared" si="32"/>
        <v>0</v>
      </c>
      <c r="DD97" t="s">
        <v>3</v>
      </c>
      <c r="DE97" t="s">
        <v>3</v>
      </c>
      <c r="DF97">
        <f t="shared" si="44"/>
        <v>0</v>
      </c>
      <c r="DG97">
        <f t="shared" si="37"/>
        <v>0</v>
      </c>
      <c r="DH97">
        <f t="shared" si="27"/>
        <v>0</v>
      </c>
      <c r="DI97">
        <f t="shared" si="42"/>
        <v>0</v>
      </c>
      <c r="DJ97">
        <f>DI97</f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ROW(Source!A77)</f>
        <v>77</v>
      </c>
      <c r="B98">
        <v>65170852</v>
      </c>
      <c r="C98">
        <v>65171192</v>
      </c>
      <c r="D98">
        <v>56572034</v>
      </c>
      <c r="E98">
        <v>1</v>
      </c>
      <c r="F98">
        <v>1</v>
      </c>
      <c r="G98">
        <v>1</v>
      </c>
      <c r="H98">
        <v>2</v>
      </c>
      <c r="I98" t="s">
        <v>606</v>
      </c>
      <c r="J98" t="s">
        <v>607</v>
      </c>
      <c r="K98" t="s">
        <v>608</v>
      </c>
      <c r="L98">
        <v>1368</v>
      </c>
      <c r="N98">
        <v>1011</v>
      </c>
      <c r="O98" t="s">
        <v>515</v>
      </c>
      <c r="P98" t="s">
        <v>515</v>
      </c>
      <c r="Q98">
        <v>1</v>
      </c>
      <c r="W98">
        <v>0</v>
      </c>
      <c r="X98">
        <v>-1482012964</v>
      </c>
      <c r="Y98">
        <f t="shared" si="30"/>
        <v>3.58</v>
      </c>
      <c r="AA98">
        <v>0</v>
      </c>
      <c r="AB98">
        <v>120.02</v>
      </c>
      <c r="AC98">
        <v>0</v>
      </c>
      <c r="AD98">
        <v>0</v>
      </c>
      <c r="AE98">
        <v>0</v>
      </c>
      <c r="AF98">
        <v>95.25</v>
      </c>
      <c r="AG98">
        <v>0</v>
      </c>
      <c r="AH98">
        <v>0</v>
      </c>
      <c r="AI98">
        <v>1</v>
      </c>
      <c r="AJ98">
        <v>1.26</v>
      </c>
      <c r="AK98">
        <v>1</v>
      </c>
      <c r="AL98">
        <v>1</v>
      </c>
      <c r="AM98">
        <v>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3</v>
      </c>
      <c r="AT98">
        <v>3.58</v>
      </c>
      <c r="AU98" t="s">
        <v>3</v>
      </c>
      <c r="AV98">
        <v>1</v>
      </c>
      <c r="AW98">
        <v>2</v>
      </c>
      <c r="AX98">
        <v>65171203</v>
      </c>
      <c r="AY98">
        <v>1</v>
      </c>
      <c r="AZ98">
        <v>0</v>
      </c>
      <c r="BA98">
        <v>93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340.995</v>
      </c>
      <c r="BL98">
        <v>0</v>
      </c>
      <c r="BM98">
        <v>0</v>
      </c>
      <c r="BN98">
        <v>0</v>
      </c>
      <c r="BO98">
        <v>0</v>
      </c>
      <c r="BP98">
        <v>1</v>
      </c>
      <c r="BQ98">
        <v>0</v>
      </c>
      <c r="BR98">
        <v>340.995</v>
      </c>
      <c r="BS98">
        <v>0</v>
      </c>
      <c r="BT98">
        <v>0</v>
      </c>
      <c r="BU98">
        <v>0</v>
      </c>
      <c r="BV98">
        <v>0</v>
      </c>
      <c r="BW98">
        <v>1</v>
      </c>
      <c r="CV98">
        <v>0</v>
      </c>
      <c r="CW98">
        <f>ROUND(Y98*Source!I77*DO98,7)</f>
        <v>0</v>
      </c>
      <c r="CX98">
        <f>ROUND(Y98*Source!I77,7)</f>
        <v>2.9291559999999999</v>
      </c>
      <c r="CY98">
        <f>AB98</f>
        <v>120.02</v>
      </c>
      <c r="CZ98">
        <f>AF98</f>
        <v>95.25</v>
      </c>
      <c r="DA98">
        <f>AJ98</f>
        <v>1.26</v>
      </c>
      <c r="DB98">
        <f t="shared" si="31"/>
        <v>341</v>
      </c>
      <c r="DC98">
        <f t="shared" si="32"/>
        <v>0</v>
      </c>
      <c r="DD98" t="s">
        <v>3</v>
      </c>
      <c r="DE98" t="s">
        <v>3</v>
      </c>
      <c r="DF98">
        <f t="shared" si="44"/>
        <v>0</v>
      </c>
      <c r="DG98">
        <f>ROUND(ROUND(AF98*AJ98,2)*CX98,2)</f>
        <v>351.56</v>
      </c>
      <c r="DH98">
        <f t="shared" si="27"/>
        <v>0</v>
      </c>
      <c r="DI98">
        <f t="shared" si="42"/>
        <v>0</v>
      </c>
      <c r="DJ98">
        <f>DG98+DH98</f>
        <v>351.56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ROW(Source!A77)</f>
        <v>77</v>
      </c>
      <c r="B99">
        <v>65170852</v>
      </c>
      <c r="C99">
        <v>65171192</v>
      </c>
      <c r="D99">
        <v>56572833</v>
      </c>
      <c r="E99">
        <v>1</v>
      </c>
      <c r="F99">
        <v>1</v>
      </c>
      <c r="G99">
        <v>1</v>
      </c>
      <c r="H99">
        <v>2</v>
      </c>
      <c r="I99" t="s">
        <v>520</v>
      </c>
      <c r="J99" t="s">
        <v>521</v>
      </c>
      <c r="K99" t="s">
        <v>522</v>
      </c>
      <c r="L99">
        <v>1368</v>
      </c>
      <c r="N99">
        <v>1011</v>
      </c>
      <c r="O99" t="s">
        <v>515</v>
      </c>
      <c r="P99" t="s">
        <v>515</v>
      </c>
      <c r="Q99">
        <v>1</v>
      </c>
      <c r="W99">
        <v>0</v>
      </c>
      <c r="X99">
        <v>1230426758</v>
      </c>
      <c r="Y99">
        <f t="shared" si="30"/>
        <v>0.55000000000000004</v>
      </c>
      <c r="AA99">
        <v>0</v>
      </c>
      <c r="AB99">
        <v>578.28</v>
      </c>
      <c r="AC99">
        <v>490.55</v>
      </c>
      <c r="AD99">
        <v>0</v>
      </c>
      <c r="AE99">
        <v>0</v>
      </c>
      <c r="AF99">
        <v>477.92</v>
      </c>
      <c r="AG99">
        <v>490.55</v>
      </c>
      <c r="AH99">
        <v>0</v>
      </c>
      <c r="AI99">
        <v>1</v>
      </c>
      <c r="AJ99">
        <v>1.21</v>
      </c>
      <c r="AK99">
        <v>1</v>
      </c>
      <c r="AL99">
        <v>1</v>
      </c>
      <c r="AM99">
        <v>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3</v>
      </c>
      <c r="AT99">
        <v>0.55000000000000004</v>
      </c>
      <c r="AU99" t="s">
        <v>3</v>
      </c>
      <c r="AV99">
        <v>1</v>
      </c>
      <c r="AW99">
        <v>2</v>
      </c>
      <c r="AX99">
        <v>65171204</v>
      </c>
      <c r="AY99">
        <v>1</v>
      </c>
      <c r="AZ99">
        <v>0</v>
      </c>
      <c r="BA99">
        <v>94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262.85600000000005</v>
      </c>
      <c r="BL99">
        <v>269.80250000000001</v>
      </c>
      <c r="BM99">
        <v>0</v>
      </c>
      <c r="BN99">
        <v>0</v>
      </c>
      <c r="BO99">
        <v>0.55000000000000004</v>
      </c>
      <c r="BP99">
        <v>1</v>
      </c>
      <c r="BQ99">
        <v>0</v>
      </c>
      <c r="BR99">
        <v>262.85600000000005</v>
      </c>
      <c r="BS99">
        <v>269.80250000000001</v>
      </c>
      <c r="BT99">
        <v>0</v>
      </c>
      <c r="BU99">
        <v>0</v>
      </c>
      <c r="BV99">
        <v>0.55000000000000004</v>
      </c>
      <c r="BW99">
        <v>1</v>
      </c>
      <c r="CV99">
        <v>0</v>
      </c>
      <c r="CW99">
        <f>ROUND(Y99*Source!I77*DO99,7)</f>
        <v>0.45001000000000002</v>
      </c>
      <c r="CX99">
        <f>ROUND(Y99*Source!I77,7)</f>
        <v>0.45001000000000002</v>
      </c>
      <c r="CY99">
        <f>AB99</f>
        <v>578.28</v>
      </c>
      <c r="CZ99">
        <f>AF99</f>
        <v>477.92</v>
      </c>
      <c r="DA99">
        <f>AJ99</f>
        <v>1.21</v>
      </c>
      <c r="DB99">
        <f t="shared" si="31"/>
        <v>262.86</v>
      </c>
      <c r="DC99">
        <f t="shared" si="32"/>
        <v>269.8</v>
      </c>
      <c r="DD99" t="s">
        <v>3</v>
      </c>
      <c r="DE99" t="s">
        <v>3</v>
      </c>
      <c r="DF99">
        <f t="shared" si="44"/>
        <v>0</v>
      </c>
      <c r="DG99">
        <f>ROUND(ROUND(AF99*AJ99,2)*CX99,2)</f>
        <v>260.23</v>
      </c>
      <c r="DH99">
        <f t="shared" si="27"/>
        <v>220.75</v>
      </c>
      <c r="DI99">
        <f t="shared" si="42"/>
        <v>0</v>
      </c>
      <c r="DJ99">
        <f>DG99+DH99</f>
        <v>480.98</v>
      </c>
      <c r="DK99">
        <v>0</v>
      </c>
      <c r="DL99" t="s">
        <v>523</v>
      </c>
      <c r="DM99">
        <v>4</v>
      </c>
      <c r="DN99" t="s">
        <v>509</v>
      </c>
      <c r="DO99">
        <v>1</v>
      </c>
    </row>
    <row r="100" spans="1:119" x14ac:dyDescent="0.2">
      <c r="A100">
        <f>ROW(Source!A77)</f>
        <v>77</v>
      </c>
      <c r="B100">
        <v>65170852</v>
      </c>
      <c r="C100">
        <v>65171192</v>
      </c>
      <c r="D100">
        <v>56217155</v>
      </c>
      <c r="E100">
        <v>108</v>
      </c>
      <c r="F100">
        <v>1</v>
      </c>
      <c r="G100">
        <v>1</v>
      </c>
      <c r="H100">
        <v>3</v>
      </c>
      <c r="I100" t="s">
        <v>609</v>
      </c>
      <c r="J100" t="s">
        <v>3</v>
      </c>
      <c r="K100" t="s">
        <v>610</v>
      </c>
      <c r="L100">
        <v>1348</v>
      </c>
      <c r="N100">
        <v>1009</v>
      </c>
      <c r="O100" t="s">
        <v>94</v>
      </c>
      <c r="P100" t="s">
        <v>94</v>
      </c>
      <c r="Q100">
        <v>1000</v>
      </c>
      <c r="W100">
        <v>0</v>
      </c>
      <c r="X100">
        <v>-1605379213</v>
      </c>
      <c r="Y100">
        <f t="shared" si="30"/>
        <v>1.6E-2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0</v>
      </c>
      <c r="AP100">
        <v>0</v>
      </c>
      <c r="AQ100">
        <v>1</v>
      </c>
      <c r="AR100">
        <v>0</v>
      </c>
      <c r="AS100" t="s">
        <v>3</v>
      </c>
      <c r="AT100">
        <v>1.6E-2</v>
      </c>
      <c r="AU100" t="s">
        <v>3</v>
      </c>
      <c r="AV100">
        <v>0</v>
      </c>
      <c r="AW100">
        <v>2</v>
      </c>
      <c r="AX100">
        <v>65171205</v>
      </c>
      <c r="AY100">
        <v>1</v>
      </c>
      <c r="AZ100">
        <v>0</v>
      </c>
      <c r="BA100">
        <v>95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ROUND(Y100*Source!I77,7)</f>
        <v>1.3091200000000001E-2</v>
      </c>
      <c r="CY100">
        <f>AA100</f>
        <v>0</v>
      </c>
      <c r="CZ100">
        <f>AE100</f>
        <v>0</v>
      </c>
      <c r="DA100">
        <f>AI100</f>
        <v>1</v>
      </c>
      <c r="DB100">
        <f t="shared" si="31"/>
        <v>0</v>
      </c>
      <c r="DC100">
        <f t="shared" si="32"/>
        <v>0</v>
      </c>
      <c r="DD100" t="s">
        <v>3</v>
      </c>
      <c r="DE100" t="s">
        <v>3</v>
      </c>
      <c r="DF100">
        <f t="shared" si="44"/>
        <v>0</v>
      </c>
      <c r="DG100">
        <f t="shared" ref="DG100:DG105" si="45">ROUND(ROUND(AF100,2)*CX100,2)</f>
        <v>0</v>
      </c>
      <c r="DH100">
        <f t="shared" si="27"/>
        <v>0</v>
      </c>
      <c r="DI100">
        <f t="shared" si="42"/>
        <v>0</v>
      </c>
      <c r="DJ100">
        <f>DF100</f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ROW(Source!A77)</f>
        <v>77</v>
      </c>
      <c r="B101">
        <v>65170852</v>
      </c>
      <c r="C101">
        <v>65171192</v>
      </c>
      <c r="D101">
        <v>56217179</v>
      </c>
      <c r="E101">
        <v>108</v>
      </c>
      <c r="F101">
        <v>1</v>
      </c>
      <c r="G101">
        <v>1</v>
      </c>
      <c r="H101">
        <v>3</v>
      </c>
      <c r="I101" t="s">
        <v>611</v>
      </c>
      <c r="J101" t="s">
        <v>3</v>
      </c>
      <c r="K101" t="s">
        <v>612</v>
      </c>
      <c r="L101">
        <v>1348</v>
      </c>
      <c r="N101">
        <v>1009</v>
      </c>
      <c r="O101" t="s">
        <v>94</v>
      </c>
      <c r="P101" t="s">
        <v>94</v>
      </c>
      <c r="Q101">
        <v>1000</v>
      </c>
      <c r="W101">
        <v>0</v>
      </c>
      <c r="X101">
        <v>-1692299120</v>
      </c>
      <c r="Y101">
        <f t="shared" si="30"/>
        <v>0.44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0</v>
      </c>
      <c r="AP101">
        <v>0</v>
      </c>
      <c r="AQ101">
        <v>1</v>
      </c>
      <c r="AR101">
        <v>0</v>
      </c>
      <c r="AS101" t="s">
        <v>3</v>
      </c>
      <c r="AT101">
        <v>0.44</v>
      </c>
      <c r="AU101" t="s">
        <v>3</v>
      </c>
      <c r="AV101">
        <v>0</v>
      </c>
      <c r="AW101">
        <v>2</v>
      </c>
      <c r="AX101">
        <v>65171206</v>
      </c>
      <c r="AY101">
        <v>1</v>
      </c>
      <c r="AZ101">
        <v>0</v>
      </c>
      <c r="BA101">
        <v>96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ROUND(Y101*Source!I77,7)</f>
        <v>0.36000799999999999</v>
      </c>
      <c r="CY101">
        <f>AA101</f>
        <v>0</v>
      </c>
      <c r="CZ101">
        <f>AE101</f>
        <v>0</v>
      </c>
      <c r="DA101">
        <f>AI101</f>
        <v>1</v>
      </c>
      <c r="DB101">
        <f t="shared" si="31"/>
        <v>0</v>
      </c>
      <c r="DC101">
        <f t="shared" si="32"/>
        <v>0</v>
      </c>
      <c r="DD101" t="s">
        <v>3</v>
      </c>
      <c r="DE101" t="s">
        <v>3</v>
      </c>
      <c r="DF101">
        <f t="shared" si="44"/>
        <v>0</v>
      </c>
      <c r="DG101">
        <f t="shared" si="45"/>
        <v>0</v>
      </c>
      <c r="DH101">
        <f t="shared" si="27"/>
        <v>0</v>
      </c>
      <c r="DI101">
        <f t="shared" si="42"/>
        <v>0</v>
      </c>
      <c r="DJ101">
        <f>DF101</f>
        <v>0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ROW(Source!A77)</f>
        <v>77</v>
      </c>
      <c r="B102">
        <v>65170852</v>
      </c>
      <c r="C102">
        <v>65171192</v>
      </c>
      <c r="D102">
        <v>56574811</v>
      </c>
      <c r="E102">
        <v>1</v>
      </c>
      <c r="F102">
        <v>1</v>
      </c>
      <c r="G102">
        <v>1</v>
      </c>
      <c r="H102">
        <v>3</v>
      </c>
      <c r="I102" t="s">
        <v>613</v>
      </c>
      <c r="J102" t="s">
        <v>614</v>
      </c>
      <c r="K102" t="s">
        <v>615</v>
      </c>
      <c r="L102">
        <v>1348</v>
      </c>
      <c r="N102">
        <v>1009</v>
      </c>
      <c r="O102" t="s">
        <v>94</v>
      </c>
      <c r="P102" t="s">
        <v>94</v>
      </c>
      <c r="Q102">
        <v>1000</v>
      </c>
      <c r="W102">
        <v>0</v>
      </c>
      <c r="X102">
        <v>-1828879489</v>
      </c>
      <c r="Y102">
        <f t="shared" si="30"/>
        <v>2.4E-2</v>
      </c>
      <c r="AA102">
        <v>66539.820000000007</v>
      </c>
      <c r="AB102">
        <v>0</v>
      </c>
      <c r="AC102">
        <v>0</v>
      </c>
      <c r="AD102">
        <v>0</v>
      </c>
      <c r="AE102">
        <v>62186.75</v>
      </c>
      <c r="AF102">
        <v>0</v>
      </c>
      <c r="AG102">
        <v>0</v>
      </c>
      <c r="AH102">
        <v>0</v>
      </c>
      <c r="AI102">
        <v>1.07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0</v>
      </c>
      <c r="AQ102">
        <v>1</v>
      </c>
      <c r="AR102">
        <v>0</v>
      </c>
      <c r="AS102" t="s">
        <v>3</v>
      </c>
      <c r="AT102">
        <v>2.4E-2</v>
      </c>
      <c r="AU102" t="s">
        <v>3</v>
      </c>
      <c r="AV102">
        <v>0</v>
      </c>
      <c r="AW102">
        <v>2</v>
      </c>
      <c r="AX102">
        <v>65171207</v>
      </c>
      <c r="AY102">
        <v>1</v>
      </c>
      <c r="AZ102">
        <v>0</v>
      </c>
      <c r="BA102">
        <v>97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1492.482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1492.482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ROUND(Y102*Source!I77,7)</f>
        <v>1.9636799999999999E-2</v>
      </c>
      <c r="CY102">
        <f>AA102</f>
        <v>66539.820000000007</v>
      </c>
      <c r="CZ102">
        <f>AE102</f>
        <v>62186.75</v>
      </c>
      <c r="DA102">
        <f>AI102</f>
        <v>1.07</v>
      </c>
      <c r="DB102">
        <f t="shared" si="31"/>
        <v>1492.48</v>
      </c>
      <c r="DC102">
        <f t="shared" si="32"/>
        <v>0</v>
      </c>
      <c r="DD102" t="s">
        <v>3</v>
      </c>
      <c r="DE102" t="s">
        <v>3</v>
      </c>
      <c r="DF102">
        <f>ROUND(ROUND(AE102*AI102,2)*CX102,2)</f>
        <v>1306.6300000000001</v>
      </c>
      <c r="DG102">
        <f t="shared" si="45"/>
        <v>0</v>
      </c>
      <c r="DH102">
        <f t="shared" si="27"/>
        <v>0</v>
      </c>
      <c r="DI102">
        <f t="shared" si="42"/>
        <v>0</v>
      </c>
      <c r="DJ102">
        <f>DF102</f>
        <v>1306.6300000000001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ROW(Source!A77)</f>
        <v>77</v>
      </c>
      <c r="B103">
        <v>65170852</v>
      </c>
      <c r="C103">
        <v>65171192</v>
      </c>
      <c r="D103">
        <v>56220820</v>
      </c>
      <c r="E103">
        <v>108</v>
      </c>
      <c r="F103">
        <v>1</v>
      </c>
      <c r="G103">
        <v>1</v>
      </c>
      <c r="H103">
        <v>3</v>
      </c>
      <c r="I103" t="s">
        <v>616</v>
      </c>
      <c r="J103" t="s">
        <v>3</v>
      </c>
      <c r="K103" t="s">
        <v>617</v>
      </c>
      <c r="L103">
        <v>1327</v>
      </c>
      <c r="N103">
        <v>1005</v>
      </c>
      <c r="O103" t="s">
        <v>618</v>
      </c>
      <c r="P103" t="s">
        <v>618</v>
      </c>
      <c r="Q103">
        <v>1</v>
      </c>
      <c r="W103">
        <v>0</v>
      </c>
      <c r="X103">
        <v>-1855071141</v>
      </c>
      <c r="Y103">
        <f t="shared" si="30"/>
        <v>230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0</v>
      </c>
      <c r="AP103">
        <v>0</v>
      </c>
      <c r="AQ103">
        <v>1</v>
      </c>
      <c r="AR103">
        <v>0</v>
      </c>
      <c r="AS103" t="s">
        <v>3</v>
      </c>
      <c r="AT103">
        <v>230</v>
      </c>
      <c r="AU103" t="s">
        <v>3</v>
      </c>
      <c r="AV103">
        <v>0</v>
      </c>
      <c r="AW103">
        <v>2</v>
      </c>
      <c r="AX103">
        <v>65171208</v>
      </c>
      <c r="AY103">
        <v>1</v>
      </c>
      <c r="AZ103">
        <v>0</v>
      </c>
      <c r="BA103">
        <v>98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ROUND(Y103*Source!I77,7)</f>
        <v>188.18600000000001</v>
      </c>
      <c r="CY103">
        <f>AA103</f>
        <v>0</v>
      </c>
      <c r="CZ103">
        <f>AE103</f>
        <v>0</v>
      </c>
      <c r="DA103">
        <f>AI103</f>
        <v>1</v>
      </c>
      <c r="DB103">
        <f t="shared" si="31"/>
        <v>0</v>
      </c>
      <c r="DC103">
        <f t="shared" si="32"/>
        <v>0</v>
      </c>
      <c r="DD103" t="s">
        <v>3</v>
      </c>
      <c r="DE103" t="s">
        <v>3</v>
      </c>
      <c r="DF103">
        <f t="shared" ref="DF103:DF108" si="46">ROUND(ROUND(AE103,2)*CX103,2)</f>
        <v>0</v>
      </c>
      <c r="DG103">
        <f t="shared" si="45"/>
        <v>0</v>
      </c>
      <c r="DH103">
        <f t="shared" si="27"/>
        <v>0</v>
      </c>
      <c r="DI103">
        <f t="shared" si="42"/>
        <v>0</v>
      </c>
      <c r="DJ103">
        <f>DF103</f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ROW(Source!A78)</f>
        <v>78</v>
      </c>
      <c r="B104">
        <v>65170852</v>
      </c>
      <c r="C104">
        <v>65171209</v>
      </c>
      <c r="D104">
        <v>37070495</v>
      </c>
      <c r="E104">
        <v>108</v>
      </c>
      <c r="F104">
        <v>1</v>
      </c>
      <c r="G104">
        <v>1</v>
      </c>
      <c r="H104">
        <v>1</v>
      </c>
      <c r="I104" t="s">
        <v>507</v>
      </c>
      <c r="J104" t="s">
        <v>3</v>
      </c>
      <c r="K104" t="s">
        <v>508</v>
      </c>
      <c r="L104">
        <v>1191</v>
      </c>
      <c r="N104">
        <v>1013</v>
      </c>
      <c r="O104" t="s">
        <v>509</v>
      </c>
      <c r="P104" t="s">
        <v>509</v>
      </c>
      <c r="Q104">
        <v>1</v>
      </c>
      <c r="W104">
        <v>0</v>
      </c>
      <c r="X104">
        <v>784619160</v>
      </c>
      <c r="Y104">
        <f t="shared" si="30"/>
        <v>9.08</v>
      </c>
      <c r="AA104">
        <v>0</v>
      </c>
      <c r="AB104">
        <v>0</v>
      </c>
      <c r="AC104">
        <v>0</v>
      </c>
      <c r="AD104">
        <v>446.62</v>
      </c>
      <c r="AE104">
        <v>0</v>
      </c>
      <c r="AF104">
        <v>0</v>
      </c>
      <c r="AG104">
        <v>0</v>
      </c>
      <c r="AH104">
        <v>446.62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3</v>
      </c>
      <c r="AT104">
        <v>9.08</v>
      </c>
      <c r="AU104" t="s">
        <v>3</v>
      </c>
      <c r="AV104">
        <v>1</v>
      </c>
      <c r="AW104">
        <v>2</v>
      </c>
      <c r="AX104">
        <v>65171217</v>
      </c>
      <c r="AY104">
        <v>1</v>
      </c>
      <c r="AZ104">
        <v>0</v>
      </c>
      <c r="BA104">
        <v>99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4055.3096</v>
      </c>
      <c r="BN104">
        <v>9.08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4055.3096</v>
      </c>
      <c r="BU104">
        <v>9.08</v>
      </c>
      <c r="BV104">
        <v>0</v>
      </c>
      <c r="BW104">
        <v>1</v>
      </c>
      <c r="CU104">
        <f>ROUND(AT104*Source!I78*AH104*AL104,2)</f>
        <v>126.73</v>
      </c>
      <c r="CV104">
        <f>ROUND(Y104*Source!I78,7)</f>
        <v>0.28375</v>
      </c>
      <c r="CW104">
        <v>0</v>
      </c>
      <c r="CX104">
        <f>ROUND(Y104*Source!I78,7)</f>
        <v>0.28375</v>
      </c>
      <c r="CY104">
        <f>AD104</f>
        <v>446.62</v>
      </c>
      <c r="CZ104">
        <f>AH104</f>
        <v>446.62</v>
      </c>
      <c r="DA104">
        <f>AL104</f>
        <v>1</v>
      </c>
      <c r="DB104">
        <f t="shared" si="31"/>
        <v>4055.31</v>
      </c>
      <c r="DC104">
        <f t="shared" si="32"/>
        <v>0</v>
      </c>
      <c r="DD104" t="s">
        <v>3</v>
      </c>
      <c r="DE104" t="s">
        <v>3</v>
      </c>
      <c r="DF104">
        <f t="shared" si="46"/>
        <v>0</v>
      </c>
      <c r="DG104">
        <f t="shared" si="45"/>
        <v>0</v>
      </c>
      <c r="DH104">
        <f t="shared" si="27"/>
        <v>0</v>
      </c>
      <c r="DI104">
        <f t="shared" si="42"/>
        <v>126.73</v>
      </c>
      <c r="DJ104">
        <f>DI104</f>
        <v>126.73</v>
      </c>
      <c r="DK104">
        <v>1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ROW(Source!A78)</f>
        <v>78</v>
      </c>
      <c r="B105">
        <v>65170852</v>
      </c>
      <c r="C105">
        <v>65171209</v>
      </c>
      <c r="D105">
        <v>37064876</v>
      </c>
      <c r="E105">
        <v>108</v>
      </c>
      <c r="F105">
        <v>1</v>
      </c>
      <c r="G105">
        <v>1</v>
      </c>
      <c r="H105">
        <v>1</v>
      </c>
      <c r="I105" t="s">
        <v>510</v>
      </c>
      <c r="J105" t="s">
        <v>3</v>
      </c>
      <c r="K105" t="s">
        <v>511</v>
      </c>
      <c r="L105">
        <v>1191</v>
      </c>
      <c r="N105">
        <v>1013</v>
      </c>
      <c r="O105" t="s">
        <v>509</v>
      </c>
      <c r="P105" t="s">
        <v>509</v>
      </c>
      <c r="Q105">
        <v>1</v>
      </c>
      <c r="W105">
        <v>0</v>
      </c>
      <c r="X105">
        <v>-1417349443</v>
      </c>
      <c r="Y105">
        <f t="shared" ref="Y105:Y134" si="47">AT105</f>
        <v>0.03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3</v>
      </c>
      <c r="AT105">
        <v>0.03</v>
      </c>
      <c r="AU105" t="s">
        <v>3</v>
      </c>
      <c r="AV105">
        <v>2</v>
      </c>
      <c r="AW105">
        <v>2</v>
      </c>
      <c r="AX105">
        <v>65171218</v>
      </c>
      <c r="AY105">
        <v>1</v>
      </c>
      <c r="AZ105">
        <v>0</v>
      </c>
      <c r="BA105">
        <v>100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ROUND(Y105*Source!I78,7)</f>
        <v>9.3749999999999997E-4</v>
      </c>
      <c r="CY105">
        <f>AD105</f>
        <v>0</v>
      </c>
      <c r="CZ105">
        <f>AH105</f>
        <v>0</v>
      </c>
      <c r="DA105">
        <f>AL105</f>
        <v>1</v>
      </c>
      <c r="DB105">
        <f t="shared" ref="DB105:DB134" si="48">ROUND(ROUND(AT105*CZ105,2),6)</f>
        <v>0</v>
      </c>
      <c r="DC105">
        <f t="shared" ref="DC105:DC134" si="49">ROUND(ROUND(AT105*AG105,2),6)</f>
        <v>0</v>
      </c>
      <c r="DD105" t="s">
        <v>3</v>
      </c>
      <c r="DE105" t="s">
        <v>3</v>
      </c>
      <c r="DF105">
        <f t="shared" si="46"/>
        <v>0</v>
      </c>
      <c r="DG105">
        <f t="shared" si="45"/>
        <v>0</v>
      </c>
      <c r="DH105">
        <f t="shared" si="27"/>
        <v>0</v>
      </c>
      <c r="DI105">
        <f t="shared" si="42"/>
        <v>0</v>
      </c>
      <c r="DJ105">
        <f>DI105</f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ROW(Source!A78)</f>
        <v>78</v>
      </c>
      <c r="B106">
        <v>65170852</v>
      </c>
      <c r="C106">
        <v>65171209</v>
      </c>
      <c r="D106">
        <v>56571642</v>
      </c>
      <c r="E106">
        <v>1</v>
      </c>
      <c r="F106">
        <v>1</v>
      </c>
      <c r="G106">
        <v>1</v>
      </c>
      <c r="H106">
        <v>2</v>
      </c>
      <c r="I106" t="s">
        <v>619</v>
      </c>
      <c r="J106" t="s">
        <v>620</v>
      </c>
      <c r="K106" t="s">
        <v>621</v>
      </c>
      <c r="L106">
        <v>1368</v>
      </c>
      <c r="N106">
        <v>1011</v>
      </c>
      <c r="O106" t="s">
        <v>515</v>
      </c>
      <c r="P106" t="s">
        <v>515</v>
      </c>
      <c r="Q106">
        <v>1</v>
      </c>
      <c r="W106">
        <v>0</v>
      </c>
      <c r="X106">
        <v>-262943181</v>
      </c>
      <c r="Y106">
        <f t="shared" si="47"/>
        <v>0.01</v>
      </c>
      <c r="AA106">
        <v>0</v>
      </c>
      <c r="AB106">
        <v>9</v>
      </c>
      <c r="AC106">
        <v>0</v>
      </c>
      <c r="AD106">
        <v>0</v>
      </c>
      <c r="AE106">
        <v>0</v>
      </c>
      <c r="AF106">
        <v>6.62</v>
      </c>
      <c r="AG106">
        <v>0</v>
      </c>
      <c r="AH106">
        <v>0</v>
      </c>
      <c r="AI106">
        <v>1</v>
      </c>
      <c r="AJ106">
        <v>1.36</v>
      </c>
      <c r="AK106">
        <v>1</v>
      </c>
      <c r="AL106">
        <v>1</v>
      </c>
      <c r="AM106">
        <v>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3</v>
      </c>
      <c r="AT106">
        <v>0.01</v>
      </c>
      <c r="AU106" t="s">
        <v>3</v>
      </c>
      <c r="AV106">
        <v>1</v>
      </c>
      <c r="AW106">
        <v>2</v>
      </c>
      <c r="AX106">
        <v>65171219</v>
      </c>
      <c r="AY106">
        <v>1</v>
      </c>
      <c r="AZ106">
        <v>0</v>
      </c>
      <c r="BA106">
        <v>101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6.6200000000000009E-2</v>
      </c>
      <c r="BL106">
        <v>0</v>
      </c>
      <c r="BM106">
        <v>0</v>
      </c>
      <c r="BN106">
        <v>0</v>
      </c>
      <c r="BO106">
        <v>0</v>
      </c>
      <c r="BP106">
        <v>1</v>
      </c>
      <c r="BQ106">
        <v>0</v>
      </c>
      <c r="BR106">
        <v>6.6200000000000009E-2</v>
      </c>
      <c r="BS106">
        <v>0</v>
      </c>
      <c r="BT106">
        <v>0</v>
      </c>
      <c r="BU106">
        <v>0</v>
      </c>
      <c r="BV106">
        <v>0</v>
      </c>
      <c r="BW106">
        <v>1</v>
      </c>
      <c r="CV106">
        <v>0</v>
      </c>
      <c r="CW106">
        <f>ROUND(Y106*Source!I78*DO106,7)</f>
        <v>0</v>
      </c>
      <c r="CX106">
        <f>ROUND(Y106*Source!I78,7)</f>
        <v>3.1250000000000001E-4</v>
      </c>
      <c r="CY106">
        <f>AB106</f>
        <v>9</v>
      </c>
      <c r="CZ106">
        <f>AF106</f>
        <v>6.62</v>
      </c>
      <c r="DA106">
        <f>AJ106</f>
        <v>1.36</v>
      </c>
      <c r="DB106">
        <f t="shared" si="48"/>
        <v>7.0000000000000007E-2</v>
      </c>
      <c r="DC106">
        <f t="shared" si="49"/>
        <v>0</v>
      </c>
      <c r="DD106" t="s">
        <v>3</v>
      </c>
      <c r="DE106" t="s">
        <v>3</v>
      </c>
      <c r="DF106">
        <f t="shared" si="46"/>
        <v>0</v>
      </c>
      <c r="DG106">
        <f>ROUND(ROUND(AF106*AJ106,2)*CX106,2)</f>
        <v>0</v>
      </c>
      <c r="DH106">
        <f t="shared" si="27"/>
        <v>0</v>
      </c>
      <c r="DI106">
        <f t="shared" si="42"/>
        <v>0</v>
      </c>
      <c r="DJ106">
        <f>DG106+DH106</f>
        <v>0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ROW(Source!A78)</f>
        <v>78</v>
      </c>
      <c r="B107">
        <v>65170852</v>
      </c>
      <c r="C107">
        <v>65171209</v>
      </c>
      <c r="D107">
        <v>56571671</v>
      </c>
      <c r="E107">
        <v>1</v>
      </c>
      <c r="F107">
        <v>1</v>
      </c>
      <c r="G107">
        <v>1</v>
      </c>
      <c r="H107">
        <v>2</v>
      </c>
      <c r="I107" t="s">
        <v>622</v>
      </c>
      <c r="J107" t="s">
        <v>623</v>
      </c>
      <c r="K107" t="s">
        <v>624</v>
      </c>
      <c r="L107">
        <v>1368</v>
      </c>
      <c r="N107">
        <v>1011</v>
      </c>
      <c r="O107" t="s">
        <v>515</v>
      </c>
      <c r="P107" t="s">
        <v>515</v>
      </c>
      <c r="Q107">
        <v>1</v>
      </c>
      <c r="W107">
        <v>0</v>
      </c>
      <c r="X107">
        <v>-2044682579</v>
      </c>
      <c r="Y107">
        <f t="shared" si="47"/>
        <v>0.01</v>
      </c>
      <c r="AA107">
        <v>0</v>
      </c>
      <c r="AB107">
        <v>1558.39</v>
      </c>
      <c r="AC107">
        <v>563.76</v>
      </c>
      <c r="AD107">
        <v>0</v>
      </c>
      <c r="AE107">
        <v>0</v>
      </c>
      <c r="AF107">
        <v>1558.39</v>
      </c>
      <c r="AG107">
        <v>563.76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3</v>
      </c>
      <c r="AT107">
        <v>0.01</v>
      </c>
      <c r="AU107" t="s">
        <v>3</v>
      </c>
      <c r="AV107">
        <v>1</v>
      </c>
      <c r="AW107">
        <v>2</v>
      </c>
      <c r="AX107">
        <v>65171220</v>
      </c>
      <c r="AY107">
        <v>1</v>
      </c>
      <c r="AZ107">
        <v>0</v>
      </c>
      <c r="BA107">
        <v>102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15.583900000000002</v>
      </c>
      <c r="BL107">
        <v>5.6375999999999999</v>
      </c>
      <c r="BM107">
        <v>0</v>
      </c>
      <c r="BN107">
        <v>0</v>
      </c>
      <c r="BO107">
        <v>0.01</v>
      </c>
      <c r="BP107">
        <v>1</v>
      </c>
      <c r="BQ107">
        <v>0</v>
      </c>
      <c r="BR107">
        <v>15.583900000000002</v>
      </c>
      <c r="BS107">
        <v>5.6375999999999999</v>
      </c>
      <c r="BT107">
        <v>0</v>
      </c>
      <c r="BU107">
        <v>0</v>
      </c>
      <c r="BV107">
        <v>0.01</v>
      </c>
      <c r="BW107">
        <v>1</v>
      </c>
      <c r="CV107">
        <v>0</v>
      </c>
      <c r="CW107">
        <f>ROUND(Y107*Source!I78*DO107,7)</f>
        <v>3.1250000000000001E-4</v>
      </c>
      <c r="CX107">
        <f>ROUND(Y107*Source!I78,7)</f>
        <v>3.1250000000000001E-4</v>
      </c>
      <c r="CY107">
        <f>AB107</f>
        <v>1558.39</v>
      </c>
      <c r="CZ107">
        <f>AF107</f>
        <v>1558.39</v>
      </c>
      <c r="DA107">
        <f>AJ107</f>
        <v>1</v>
      </c>
      <c r="DB107">
        <f t="shared" si="48"/>
        <v>15.58</v>
      </c>
      <c r="DC107">
        <f t="shared" si="49"/>
        <v>5.64</v>
      </c>
      <c r="DD107" t="s">
        <v>3</v>
      </c>
      <c r="DE107" t="s">
        <v>3</v>
      </c>
      <c r="DF107">
        <f t="shared" si="46"/>
        <v>0</v>
      </c>
      <c r="DG107">
        <f>ROUND(ROUND(AF107,2)*CX107,2)</f>
        <v>0.49</v>
      </c>
      <c r="DH107">
        <f t="shared" si="27"/>
        <v>0.18</v>
      </c>
      <c r="DI107">
        <f t="shared" si="42"/>
        <v>0</v>
      </c>
      <c r="DJ107">
        <f>DG107+DH107</f>
        <v>0.66999999999999993</v>
      </c>
      <c r="DK107">
        <v>1</v>
      </c>
      <c r="DL107" t="s">
        <v>593</v>
      </c>
      <c r="DM107">
        <v>5</v>
      </c>
      <c r="DN107" t="s">
        <v>509</v>
      </c>
      <c r="DO107">
        <v>1</v>
      </c>
    </row>
    <row r="108" spans="1:119" x14ac:dyDescent="0.2">
      <c r="A108">
        <f>ROW(Source!A78)</f>
        <v>78</v>
      </c>
      <c r="B108">
        <v>65170852</v>
      </c>
      <c r="C108">
        <v>65171209</v>
      </c>
      <c r="D108">
        <v>56572833</v>
      </c>
      <c r="E108">
        <v>1</v>
      </c>
      <c r="F108">
        <v>1</v>
      </c>
      <c r="G108">
        <v>1</v>
      </c>
      <c r="H108">
        <v>2</v>
      </c>
      <c r="I108" t="s">
        <v>520</v>
      </c>
      <c r="J108" t="s">
        <v>521</v>
      </c>
      <c r="K108" t="s">
        <v>522</v>
      </c>
      <c r="L108">
        <v>1368</v>
      </c>
      <c r="N108">
        <v>1011</v>
      </c>
      <c r="O108" t="s">
        <v>515</v>
      </c>
      <c r="P108" t="s">
        <v>515</v>
      </c>
      <c r="Q108">
        <v>1</v>
      </c>
      <c r="W108">
        <v>0</v>
      </c>
      <c r="X108">
        <v>1230426758</v>
      </c>
      <c r="Y108">
        <f t="shared" si="47"/>
        <v>0.02</v>
      </c>
      <c r="AA108">
        <v>0</v>
      </c>
      <c r="AB108">
        <v>578.28</v>
      </c>
      <c r="AC108">
        <v>490.55</v>
      </c>
      <c r="AD108">
        <v>0</v>
      </c>
      <c r="AE108">
        <v>0</v>
      </c>
      <c r="AF108">
        <v>477.92</v>
      </c>
      <c r="AG108">
        <v>490.55</v>
      </c>
      <c r="AH108">
        <v>0</v>
      </c>
      <c r="AI108">
        <v>1</v>
      </c>
      <c r="AJ108">
        <v>1.21</v>
      </c>
      <c r="AK108">
        <v>1</v>
      </c>
      <c r="AL108">
        <v>1</v>
      </c>
      <c r="AM108">
        <v>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3</v>
      </c>
      <c r="AT108">
        <v>0.02</v>
      </c>
      <c r="AU108" t="s">
        <v>3</v>
      </c>
      <c r="AV108">
        <v>1</v>
      </c>
      <c r="AW108">
        <v>2</v>
      </c>
      <c r="AX108">
        <v>65171221</v>
      </c>
      <c r="AY108">
        <v>1</v>
      </c>
      <c r="AZ108">
        <v>0</v>
      </c>
      <c r="BA108">
        <v>103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9.5584000000000007</v>
      </c>
      <c r="BL108">
        <v>9.8109999999999999</v>
      </c>
      <c r="BM108">
        <v>0</v>
      </c>
      <c r="BN108">
        <v>0</v>
      </c>
      <c r="BO108">
        <v>0.02</v>
      </c>
      <c r="BP108">
        <v>1</v>
      </c>
      <c r="BQ108">
        <v>0</v>
      </c>
      <c r="BR108">
        <v>9.5584000000000007</v>
      </c>
      <c r="BS108">
        <v>9.8109999999999999</v>
      </c>
      <c r="BT108">
        <v>0</v>
      </c>
      <c r="BU108">
        <v>0</v>
      </c>
      <c r="BV108">
        <v>0.02</v>
      </c>
      <c r="BW108">
        <v>1</v>
      </c>
      <c r="CV108">
        <v>0</v>
      </c>
      <c r="CW108">
        <f>ROUND(Y108*Source!I78*DO108,7)</f>
        <v>6.2500000000000001E-4</v>
      </c>
      <c r="CX108">
        <f>ROUND(Y108*Source!I78,7)</f>
        <v>6.2500000000000001E-4</v>
      </c>
      <c r="CY108">
        <f>AB108</f>
        <v>578.28</v>
      </c>
      <c r="CZ108">
        <f>AF108</f>
        <v>477.92</v>
      </c>
      <c r="DA108">
        <f>AJ108</f>
        <v>1.21</v>
      </c>
      <c r="DB108">
        <f t="shared" si="48"/>
        <v>9.56</v>
      </c>
      <c r="DC108">
        <f t="shared" si="49"/>
        <v>9.81</v>
      </c>
      <c r="DD108" t="s">
        <v>3</v>
      </c>
      <c r="DE108" t="s">
        <v>3</v>
      </c>
      <c r="DF108">
        <f t="shared" si="46"/>
        <v>0</v>
      </c>
      <c r="DG108">
        <f>ROUND(ROUND(AF108*AJ108,2)*CX108,2)</f>
        <v>0.36</v>
      </c>
      <c r="DH108">
        <f t="shared" si="27"/>
        <v>0.31</v>
      </c>
      <c r="DI108">
        <f t="shared" si="42"/>
        <v>0</v>
      </c>
      <c r="DJ108">
        <f>DG108+DH108</f>
        <v>0.66999999999999993</v>
      </c>
      <c r="DK108">
        <v>0</v>
      </c>
      <c r="DL108" t="s">
        <v>523</v>
      </c>
      <c r="DM108">
        <v>4</v>
      </c>
      <c r="DN108" t="s">
        <v>509</v>
      </c>
      <c r="DO108">
        <v>1</v>
      </c>
    </row>
    <row r="109" spans="1:119" x14ac:dyDescent="0.2">
      <c r="A109">
        <f>ROW(Source!A78)</f>
        <v>78</v>
      </c>
      <c r="B109">
        <v>65170852</v>
      </c>
      <c r="C109">
        <v>65171209</v>
      </c>
      <c r="D109">
        <v>56582407</v>
      </c>
      <c r="E109">
        <v>1</v>
      </c>
      <c r="F109">
        <v>1</v>
      </c>
      <c r="G109">
        <v>1</v>
      </c>
      <c r="H109">
        <v>3</v>
      </c>
      <c r="I109" t="s">
        <v>625</v>
      </c>
      <c r="J109" t="s">
        <v>626</v>
      </c>
      <c r="K109" t="s">
        <v>627</v>
      </c>
      <c r="L109">
        <v>1346</v>
      </c>
      <c r="N109">
        <v>1009</v>
      </c>
      <c r="O109" t="s">
        <v>549</v>
      </c>
      <c r="P109" t="s">
        <v>549</v>
      </c>
      <c r="Q109">
        <v>1</v>
      </c>
      <c r="W109">
        <v>0</v>
      </c>
      <c r="X109">
        <v>-529816839</v>
      </c>
      <c r="Y109">
        <f t="shared" si="47"/>
        <v>5</v>
      </c>
      <c r="AA109">
        <v>77.989999999999995</v>
      </c>
      <c r="AB109">
        <v>0</v>
      </c>
      <c r="AC109">
        <v>0</v>
      </c>
      <c r="AD109">
        <v>0</v>
      </c>
      <c r="AE109">
        <v>56.11</v>
      </c>
      <c r="AF109">
        <v>0</v>
      </c>
      <c r="AG109">
        <v>0</v>
      </c>
      <c r="AH109">
        <v>0</v>
      </c>
      <c r="AI109">
        <v>1.39</v>
      </c>
      <c r="AJ109">
        <v>1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0</v>
      </c>
      <c r="AQ109">
        <v>1</v>
      </c>
      <c r="AR109">
        <v>0</v>
      </c>
      <c r="AS109" t="s">
        <v>3</v>
      </c>
      <c r="AT109">
        <v>5</v>
      </c>
      <c r="AU109" t="s">
        <v>3</v>
      </c>
      <c r="AV109">
        <v>0</v>
      </c>
      <c r="AW109">
        <v>2</v>
      </c>
      <c r="AX109">
        <v>65171222</v>
      </c>
      <c r="AY109">
        <v>1</v>
      </c>
      <c r="AZ109">
        <v>0</v>
      </c>
      <c r="BA109">
        <v>104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280.55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280.55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v>0</v>
      </c>
      <c r="CX109">
        <f>ROUND(Y109*Source!I78,7)</f>
        <v>0.15625</v>
      </c>
      <c r="CY109">
        <f>AA109</f>
        <v>77.989999999999995</v>
      </c>
      <c r="CZ109">
        <f>AE109</f>
        <v>56.11</v>
      </c>
      <c r="DA109">
        <f>AI109</f>
        <v>1.39</v>
      </c>
      <c r="DB109">
        <f t="shared" si="48"/>
        <v>280.55</v>
      </c>
      <c r="DC109">
        <f t="shared" si="49"/>
        <v>0</v>
      </c>
      <c r="DD109" t="s">
        <v>3</v>
      </c>
      <c r="DE109" t="s">
        <v>3</v>
      </c>
      <c r="DF109">
        <f>ROUND(ROUND(AE109*AI109,2)*CX109,2)</f>
        <v>12.19</v>
      </c>
      <c r="DG109">
        <f>ROUND(ROUND(AF109,2)*CX109,2)</f>
        <v>0</v>
      </c>
      <c r="DH109">
        <f t="shared" si="27"/>
        <v>0</v>
      </c>
      <c r="DI109">
        <f t="shared" si="42"/>
        <v>0</v>
      </c>
      <c r="DJ109">
        <f>DF109</f>
        <v>12.19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ROW(Source!A78)</f>
        <v>78</v>
      </c>
      <c r="B110">
        <v>65170852</v>
      </c>
      <c r="C110">
        <v>65171209</v>
      </c>
      <c r="D110">
        <v>56610726</v>
      </c>
      <c r="E110">
        <v>1</v>
      </c>
      <c r="F110">
        <v>1</v>
      </c>
      <c r="G110">
        <v>1</v>
      </c>
      <c r="H110">
        <v>3</v>
      </c>
      <c r="I110" t="s">
        <v>628</v>
      </c>
      <c r="J110" t="s">
        <v>629</v>
      </c>
      <c r="K110" t="s">
        <v>630</v>
      </c>
      <c r="L110">
        <v>1346</v>
      </c>
      <c r="N110">
        <v>1009</v>
      </c>
      <c r="O110" t="s">
        <v>549</v>
      </c>
      <c r="P110" t="s">
        <v>549</v>
      </c>
      <c r="Q110">
        <v>1</v>
      </c>
      <c r="W110">
        <v>0</v>
      </c>
      <c r="X110">
        <v>-710112584</v>
      </c>
      <c r="Y110">
        <f t="shared" si="47"/>
        <v>32</v>
      </c>
      <c r="AA110">
        <v>76.959999999999994</v>
      </c>
      <c r="AB110">
        <v>0</v>
      </c>
      <c r="AC110">
        <v>0</v>
      </c>
      <c r="AD110">
        <v>0</v>
      </c>
      <c r="AE110">
        <v>60.6</v>
      </c>
      <c r="AF110">
        <v>0</v>
      </c>
      <c r="AG110">
        <v>0</v>
      </c>
      <c r="AH110">
        <v>0</v>
      </c>
      <c r="AI110">
        <v>1.27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0</v>
      </c>
      <c r="AQ110">
        <v>1</v>
      </c>
      <c r="AR110">
        <v>0</v>
      </c>
      <c r="AS110" t="s">
        <v>3</v>
      </c>
      <c r="AT110">
        <v>32</v>
      </c>
      <c r="AU110" t="s">
        <v>3</v>
      </c>
      <c r="AV110">
        <v>0</v>
      </c>
      <c r="AW110">
        <v>2</v>
      </c>
      <c r="AX110">
        <v>65171223</v>
      </c>
      <c r="AY110">
        <v>1</v>
      </c>
      <c r="AZ110">
        <v>0</v>
      </c>
      <c r="BA110">
        <v>105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1939.2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1939.2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v>0</v>
      </c>
      <c r="CX110">
        <f>ROUND(Y110*Source!I78,7)</f>
        <v>1</v>
      </c>
      <c r="CY110">
        <f>AA110</f>
        <v>76.959999999999994</v>
      </c>
      <c r="CZ110">
        <f>AE110</f>
        <v>60.6</v>
      </c>
      <c r="DA110">
        <f>AI110</f>
        <v>1.27</v>
      </c>
      <c r="DB110">
        <f t="shared" si="48"/>
        <v>1939.2</v>
      </c>
      <c r="DC110">
        <f t="shared" si="49"/>
        <v>0</v>
      </c>
      <c r="DD110" t="s">
        <v>3</v>
      </c>
      <c r="DE110" t="s">
        <v>3</v>
      </c>
      <c r="DF110">
        <f>ROUND(ROUND(AE110*AI110,2)*CX110,2)</f>
        <v>76.959999999999994</v>
      </c>
      <c r="DG110">
        <f>ROUND(ROUND(AF110,2)*CX110,2)</f>
        <v>0</v>
      </c>
      <c r="DH110">
        <f t="shared" si="27"/>
        <v>0</v>
      </c>
      <c r="DI110">
        <f t="shared" si="42"/>
        <v>0</v>
      </c>
      <c r="DJ110">
        <f>DF110</f>
        <v>76.959999999999994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ROW(Source!A79)</f>
        <v>79</v>
      </c>
      <c r="B111">
        <v>65170852</v>
      </c>
      <c r="C111">
        <v>65171224</v>
      </c>
      <c r="D111">
        <v>37072442</v>
      </c>
      <c r="E111">
        <v>108</v>
      </c>
      <c r="F111">
        <v>1</v>
      </c>
      <c r="G111">
        <v>1</v>
      </c>
      <c r="H111">
        <v>1</v>
      </c>
      <c r="I111" t="s">
        <v>631</v>
      </c>
      <c r="J111" t="s">
        <v>3</v>
      </c>
      <c r="K111" t="s">
        <v>632</v>
      </c>
      <c r="L111">
        <v>1191</v>
      </c>
      <c r="N111">
        <v>1013</v>
      </c>
      <c r="O111" t="s">
        <v>509</v>
      </c>
      <c r="P111" t="s">
        <v>509</v>
      </c>
      <c r="Q111">
        <v>1</v>
      </c>
      <c r="W111">
        <v>0</v>
      </c>
      <c r="X111">
        <v>-981676222</v>
      </c>
      <c r="Y111">
        <f t="shared" si="47"/>
        <v>5.31</v>
      </c>
      <c r="AA111">
        <v>0</v>
      </c>
      <c r="AB111">
        <v>0</v>
      </c>
      <c r="AC111">
        <v>0</v>
      </c>
      <c r="AD111">
        <v>541.79999999999995</v>
      </c>
      <c r="AE111">
        <v>0</v>
      </c>
      <c r="AF111">
        <v>0</v>
      </c>
      <c r="AG111">
        <v>0</v>
      </c>
      <c r="AH111">
        <v>541.79999999999995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0</v>
      </c>
      <c r="AP111">
        <v>1</v>
      </c>
      <c r="AQ111">
        <v>1</v>
      </c>
      <c r="AR111">
        <v>0</v>
      </c>
      <c r="AS111" t="s">
        <v>3</v>
      </c>
      <c r="AT111">
        <v>5.31</v>
      </c>
      <c r="AU111" t="s">
        <v>3</v>
      </c>
      <c r="AV111">
        <v>1</v>
      </c>
      <c r="AW111">
        <v>2</v>
      </c>
      <c r="AX111">
        <v>65171233</v>
      </c>
      <c r="AY111">
        <v>1</v>
      </c>
      <c r="AZ111">
        <v>0</v>
      </c>
      <c r="BA111">
        <v>106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2876.9579999999996</v>
      </c>
      <c r="BN111">
        <v>5.31</v>
      </c>
      <c r="BO111">
        <v>0</v>
      </c>
      <c r="BP111">
        <v>1</v>
      </c>
      <c r="BQ111">
        <v>0</v>
      </c>
      <c r="BR111">
        <v>0</v>
      </c>
      <c r="BS111">
        <v>0</v>
      </c>
      <c r="BT111">
        <v>2876.9579999999996</v>
      </c>
      <c r="BU111">
        <v>5.31</v>
      </c>
      <c r="BV111">
        <v>0</v>
      </c>
      <c r="BW111">
        <v>1</v>
      </c>
      <c r="CU111">
        <f>ROUND(AT111*Source!I79*AH111*AL111,2)</f>
        <v>1598.15</v>
      </c>
      <c r="CV111">
        <f>ROUND(Y111*Source!I79,7)</f>
        <v>2.9497049999999998</v>
      </c>
      <c r="CW111">
        <v>0</v>
      </c>
      <c r="CX111">
        <f>ROUND(Y111*Source!I79,7)</f>
        <v>2.9497049999999998</v>
      </c>
      <c r="CY111">
        <f>AD111</f>
        <v>541.79999999999995</v>
      </c>
      <c r="CZ111">
        <f>AH111</f>
        <v>541.79999999999995</v>
      </c>
      <c r="DA111">
        <f>AL111</f>
        <v>1</v>
      </c>
      <c r="DB111">
        <f t="shared" si="48"/>
        <v>2876.96</v>
      </c>
      <c r="DC111">
        <f t="shared" si="49"/>
        <v>0</v>
      </c>
      <c r="DD111" t="s">
        <v>3</v>
      </c>
      <c r="DE111" t="s">
        <v>3</v>
      </c>
      <c r="DF111">
        <f t="shared" ref="DF111:DF116" si="50">ROUND(ROUND(AE111,2)*CX111,2)</f>
        <v>0</v>
      </c>
      <c r="DG111">
        <f>ROUND(ROUND(AF111,2)*CX111,2)</f>
        <v>0</v>
      </c>
      <c r="DH111">
        <f t="shared" si="27"/>
        <v>0</v>
      </c>
      <c r="DI111">
        <f t="shared" si="42"/>
        <v>1598.15</v>
      </c>
      <c r="DJ111">
        <f>DI111</f>
        <v>1598.15</v>
      </c>
      <c r="DK111">
        <v>1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ROW(Source!A79)</f>
        <v>79</v>
      </c>
      <c r="B112">
        <v>65170852</v>
      </c>
      <c r="C112">
        <v>65171224</v>
      </c>
      <c r="D112">
        <v>37064876</v>
      </c>
      <c r="E112">
        <v>108</v>
      </c>
      <c r="F112">
        <v>1</v>
      </c>
      <c r="G112">
        <v>1</v>
      </c>
      <c r="H112">
        <v>1</v>
      </c>
      <c r="I112" t="s">
        <v>510</v>
      </c>
      <c r="J112" t="s">
        <v>3</v>
      </c>
      <c r="K112" t="s">
        <v>511</v>
      </c>
      <c r="L112">
        <v>1191</v>
      </c>
      <c r="N112">
        <v>1013</v>
      </c>
      <c r="O112" t="s">
        <v>509</v>
      </c>
      <c r="P112" t="s">
        <v>509</v>
      </c>
      <c r="Q112">
        <v>1</v>
      </c>
      <c r="W112">
        <v>0</v>
      </c>
      <c r="X112">
        <v>-1417349443</v>
      </c>
      <c r="Y112">
        <f t="shared" si="47"/>
        <v>0.02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3</v>
      </c>
      <c r="AT112">
        <v>0.02</v>
      </c>
      <c r="AU112" t="s">
        <v>3</v>
      </c>
      <c r="AV112">
        <v>2</v>
      </c>
      <c r="AW112">
        <v>2</v>
      </c>
      <c r="AX112">
        <v>65171234</v>
      </c>
      <c r="AY112">
        <v>1</v>
      </c>
      <c r="AZ112">
        <v>0</v>
      </c>
      <c r="BA112">
        <v>107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ROUND(Y112*Source!I79,7)</f>
        <v>1.111E-2</v>
      </c>
      <c r="CY112">
        <f>AD112</f>
        <v>0</v>
      </c>
      <c r="CZ112">
        <f>AH112</f>
        <v>0</v>
      </c>
      <c r="DA112">
        <f>AL112</f>
        <v>1</v>
      </c>
      <c r="DB112">
        <f t="shared" si="48"/>
        <v>0</v>
      </c>
      <c r="DC112">
        <f t="shared" si="49"/>
        <v>0</v>
      </c>
      <c r="DD112" t="s">
        <v>3</v>
      </c>
      <c r="DE112" t="s">
        <v>3</v>
      </c>
      <c r="DF112">
        <f t="shared" si="50"/>
        <v>0</v>
      </c>
      <c r="DG112">
        <f>ROUND(ROUND(AF112,2)*CX112,2)</f>
        <v>0</v>
      </c>
      <c r="DH112">
        <f t="shared" si="27"/>
        <v>0</v>
      </c>
      <c r="DI112">
        <f t="shared" si="42"/>
        <v>0</v>
      </c>
      <c r="DJ112">
        <f>DI112</f>
        <v>0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ROW(Source!A79)</f>
        <v>79</v>
      </c>
      <c r="B113">
        <v>65170852</v>
      </c>
      <c r="C113">
        <v>65171224</v>
      </c>
      <c r="D113">
        <v>56571642</v>
      </c>
      <c r="E113">
        <v>1</v>
      </c>
      <c r="F113">
        <v>1</v>
      </c>
      <c r="G113">
        <v>1</v>
      </c>
      <c r="H113">
        <v>2</v>
      </c>
      <c r="I113" t="s">
        <v>619</v>
      </c>
      <c r="J113" t="s">
        <v>620</v>
      </c>
      <c r="K113" t="s">
        <v>621</v>
      </c>
      <c r="L113">
        <v>1368</v>
      </c>
      <c r="N113">
        <v>1011</v>
      </c>
      <c r="O113" t="s">
        <v>515</v>
      </c>
      <c r="P113" t="s">
        <v>515</v>
      </c>
      <c r="Q113">
        <v>1</v>
      </c>
      <c r="W113">
        <v>0</v>
      </c>
      <c r="X113">
        <v>-262943181</v>
      </c>
      <c r="Y113">
        <f t="shared" si="47"/>
        <v>0.01</v>
      </c>
      <c r="AA113">
        <v>0</v>
      </c>
      <c r="AB113">
        <v>9</v>
      </c>
      <c r="AC113">
        <v>0</v>
      </c>
      <c r="AD113">
        <v>0</v>
      </c>
      <c r="AE113">
        <v>0</v>
      </c>
      <c r="AF113">
        <v>6.62</v>
      </c>
      <c r="AG113">
        <v>0</v>
      </c>
      <c r="AH113">
        <v>0</v>
      </c>
      <c r="AI113">
        <v>1</v>
      </c>
      <c r="AJ113">
        <v>1.36</v>
      </c>
      <c r="AK113">
        <v>1</v>
      </c>
      <c r="AL113">
        <v>1</v>
      </c>
      <c r="AM113">
        <v>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3</v>
      </c>
      <c r="AT113">
        <v>0.01</v>
      </c>
      <c r="AU113" t="s">
        <v>3</v>
      </c>
      <c r="AV113">
        <v>1</v>
      </c>
      <c r="AW113">
        <v>2</v>
      </c>
      <c r="AX113">
        <v>65171235</v>
      </c>
      <c r="AY113">
        <v>1</v>
      </c>
      <c r="AZ113">
        <v>0</v>
      </c>
      <c r="BA113">
        <v>108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6.6200000000000009E-2</v>
      </c>
      <c r="BL113">
        <v>0</v>
      </c>
      <c r="BM113">
        <v>0</v>
      </c>
      <c r="BN113">
        <v>0</v>
      </c>
      <c r="BO113">
        <v>0</v>
      </c>
      <c r="BP113">
        <v>1</v>
      </c>
      <c r="BQ113">
        <v>0</v>
      </c>
      <c r="BR113">
        <v>6.6200000000000009E-2</v>
      </c>
      <c r="BS113">
        <v>0</v>
      </c>
      <c r="BT113">
        <v>0</v>
      </c>
      <c r="BU113">
        <v>0</v>
      </c>
      <c r="BV113">
        <v>0</v>
      </c>
      <c r="BW113">
        <v>1</v>
      </c>
      <c r="CV113">
        <v>0</v>
      </c>
      <c r="CW113">
        <f>ROUND(Y113*Source!I79*DO113,7)</f>
        <v>0</v>
      </c>
      <c r="CX113">
        <f>ROUND(Y113*Source!I79,7)</f>
        <v>5.555E-3</v>
      </c>
      <c r="CY113">
        <f>AB113</f>
        <v>9</v>
      </c>
      <c r="CZ113">
        <f>AF113</f>
        <v>6.62</v>
      </c>
      <c r="DA113">
        <f>AJ113</f>
        <v>1.36</v>
      </c>
      <c r="DB113">
        <f t="shared" si="48"/>
        <v>7.0000000000000007E-2</v>
      </c>
      <c r="DC113">
        <f t="shared" si="49"/>
        <v>0</v>
      </c>
      <c r="DD113" t="s">
        <v>3</v>
      </c>
      <c r="DE113" t="s">
        <v>3</v>
      </c>
      <c r="DF113">
        <f t="shared" si="50"/>
        <v>0</v>
      </c>
      <c r="DG113">
        <f>ROUND(ROUND(AF113*AJ113,2)*CX113,2)</f>
        <v>0.05</v>
      </c>
      <c r="DH113">
        <f t="shared" si="27"/>
        <v>0</v>
      </c>
      <c r="DI113">
        <f t="shared" si="42"/>
        <v>0</v>
      </c>
      <c r="DJ113">
        <f>DG113+DH113</f>
        <v>0.05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ROW(Source!A79)</f>
        <v>79</v>
      </c>
      <c r="B114">
        <v>65170852</v>
      </c>
      <c r="C114">
        <v>65171224</v>
      </c>
      <c r="D114">
        <v>56571671</v>
      </c>
      <c r="E114">
        <v>1</v>
      </c>
      <c r="F114">
        <v>1</v>
      </c>
      <c r="G114">
        <v>1</v>
      </c>
      <c r="H114">
        <v>2</v>
      </c>
      <c r="I114" t="s">
        <v>622</v>
      </c>
      <c r="J114" t="s">
        <v>623</v>
      </c>
      <c r="K114" t="s">
        <v>624</v>
      </c>
      <c r="L114">
        <v>1368</v>
      </c>
      <c r="N114">
        <v>1011</v>
      </c>
      <c r="O114" t="s">
        <v>515</v>
      </c>
      <c r="P114" t="s">
        <v>515</v>
      </c>
      <c r="Q114">
        <v>1</v>
      </c>
      <c r="W114">
        <v>0</v>
      </c>
      <c r="X114">
        <v>-2044682579</v>
      </c>
      <c r="Y114">
        <f t="shared" si="47"/>
        <v>0.01</v>
      </c>
      <c r="AA114">
        <v>0</v>
      </c>
      <c r="AB114">
        <v>1558.39</v>
      </c>
      <c r="AC114">
        <v>563.76</v>
      </c>
      <c r="AD114">
        <v>0</v>
      </c>
      <c r="AE114">
        <v>0</v>
      </c>
      <c r="AF114">
        <v>1558.39</v>
      </c>
      <c r="AG114">
        <v>563.76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3</v>
      </c>
      <c r="AT114">
        <v>0.01</v>
      </c>
      <c r="AU114" t="s">
        <v>3</v>
      </c>
      <c r="AV114">
        <v>1</v>
      </c>
      <c r="AW114">
        <v>2</v>
      </c>
      <c r="AX114">
        <v>65171236</v>
      </c>
      <c r="AY114">
        <v>1</v>
      </c>
      <c r="AZ114">
        <v>0</v>
      </c>
      <c r="BA114">
        <v>109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15.583900000000002</v>
      </c>
      <c r="BL114">
        <v>5.6375999999999999</v>
      </c>
      <c r="BM114">
        <v>0</v>
      </c>
      <c r="BN114">
        <v>0</v>
      </c>
      <c r="BO114">
        <v>0.01</v>
      </c>
      <c r="BP114">
        <v>1</v>
      </c>
      <c r="BQ114">
        <v>0</v>
      </c>
      <c r="BR114">
        <v>15.583900000000002</v>
      </c>
      <c r="BS114">
        <v>5.6375999999999999</v>
      </c>
      <c r="BT114">
        <v>0</v>
      </c>
      <c r="BU114">
        <v>0</v>
      </c>
      <c r="BV114">
        <v>0.01</v>
      </c>
      <c r="BW114">
        <v>1</v>
      </c>
      <c r="CV114">
        <v>0</v>
      </c>
      <c r="CW114">
        <f>ROUND(Y114*Source!I79*DO114,7)</f>
        <v>5.555E-3</v>
      </c>
      <c r="CX114">
        <f>ROUND(Y114*Source!I79,7)</f>
        <v>5.555E-3</v>
      </c>
      <c r="CY114">
        <f>AB114</f>
        <v>1558.39</v>
      </c>
      <c r="CZ114">
        <f>AF114</f>
        <v>1558.39</v>
      </c>
      <c r="DA114">
        <f>AJ114</f>
        <v>1</v>
      </c>
      <c r="DB114">
        <f t="shared" si="48"/>
        <v>15.58</v>
      </c>
      <c r="DC114">
        <f t="shared" si="49"/>
        <v>5.64</v>
      </c>
      <c r="DD114" t="s">
        <v>3</v>
      </c>
      <c r="DE114" t="s">
        <v>3</v>
      </c>
      <c r="DF114">
        <f t="shared" si="50"/>
        <v>0</v>
      </c>
      <c r="DG114">
        <f>ROUND(ROUND(AF114,2)*CX114,2)</f>
        <v>8.66</v>
      </c>
      <c r="DH114">
        <f t="shared" si="27"/>
        <v>3.13</v>
      </c>
      <c r="DI114">
        <f t="shared" si="42"/>
        <v>0</v>
      </c>
      <c r="DJ114">
        <f>DG114+DH114</f>
        <v>11.79</v>
      </c>
      <c r="DK114">
        <v>1</v>
      </c>
      <c r="DL114" t="s">
        <v>593</v>
      </c>
      <c r="DM114">
        <v>5</v>
      </c>
      <c r="DN114" t="s">
        <v>509</v>
      </c>
      <c r="DO114">
        <v>1</v>
      </c>
    </row>
    <row r="115" spans="1:119" x14ac:dyDescent="0.2">
      <c r="A115">
        <f>ROW(Source!A79)</f>
        <v>79</v>
      </c>
      <c r="B115">
        <v>65170852</v>
      </c>
      <c r="C115">
        <v>65171224</v>
      </c>
      <c r="D115">
        <v>56572833</v>
      </c>
      <c r="E115">
        <v>1</v>
      </c>
      <c r="F115">
        <v>1</v>
      </c>
      <c r="G115">
        <v>1</v>
      </c>
      <c r="H115">
        <v>2</v>
      </c>
      <c r="I115" t="s">
        <v>520</v>
      </c>
      <c r="J115" t="s">
        <v>521</v>
      </c>
      <c r="K115" t="s">
        <v>522</v>
      </c>
      <c r="L115">
        <v>1368</v>
      </c>
      <c r="N115">
        <v>1011</v>
      </c>
      <c r="O115" t="s">
        <v>515</v>
      </c>
      <c r="P115" t="s">
        <v>515</v>
      </c>
      <c r="Q115">
        <v>1</v>
      </c>
      <c r="W115">
        <v>0</v>
      </c>
      <c r="X115">
        <v>1230426758</v>
      </c>
      <c r="Y115">
        <f t="shared" si="47"/>
        <v>0.01</v>
      </c>
      <c r="AA115">
        <v>0</v>
      </c>
      <c r="AB115">
        <v>578.28</v>
      </c>
      <c r="AC115">
        <v>490.55</v>
      </c>
      <c r="AD115">
        <v>0</v>
      </c>
      <c r="AE115">
        <v>0</v>
      </c>
      <c r="AF115">
        <v>477.92</v>
      </c>
      <c r="AG115">
        <v>490.55</v>
      </c>
      <c r="AH115">
        <v>0</v>
      </c>
      <c r="AI115">
        <v>1</v>
      </c>
      <c r="AJ115">
        <v>1.21</v>
      </c>
      <c r="AK115">
        <v>1</v>
      </c>
      <c r="AL115">
        <v>1</v>
      </c>
      <c r="AM115">
        <v>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3</v>
      </c>
      <c r="AT115">
        <v>0.01</v>
      </c>
      <c r="AU115" t="s">
        <v>3</v>
      </c>
      <c r="AV115">
        <v>1</v>
      </c>
      <c r="AW115">
        <v>2</v>
      </c>
      <c r="AX115">
        <v>65171237</v>
      </c>
      <c r="AY115">
        <v>1</v>
      </c>
      <c r="AZ115">
        <v>0</v>
      </c>
      <c r="BA115">
        <v>110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4.7792000000000003</v>
      </c>
      <c r="BL115">
        <v>4.9055</v>
      </c>
      <c r="BM115">
        <v>0</v>
      </c>
      <c r="BN115">
        <v>0</v>
      </c>
      <c r="BO115">
        <v>0.01</v>
      </c>
      <c r="BP115">
        <v>1</v>
      </c>
      <c r="BQ115">
        <v>0</v>
      </c>
      <c r="BR115">
        <v>4.7792000000000003</v>
      </c>
      <c r="BS115">
        <v>4.9055</v>
      </c>
      <c r="BT115">
        <v>0</v>
      </c>
      <c r="BU115">
        <v>0</v>
      </c>
      <c r="BV115">
        <v>0.01</v>
      </c>
      <c r="BW115">
        <v>1</v>
      </c>
      <c r="CV115">
        <v>0</v>
      </c>
      <c r="CW115">
        <f>ROUND(Y115*Source!I79*DO115,7)</f>
        <v>5.555E-3</v>
      </c>
      <c r="CX115">
        <f>ROUND(Y115*Source!I79,7)</f>
        <v>5.555E-3</v>
      </c>
      <c r="CY115">
        <f>AB115</f>
        <v>578.28</v>
      </c>
      <c r="CZ115">
        <f>AF115</f>
        <v>477.92</v>
      </c>
      <c r="DA115">
        <f>AJ115</f>
        <v>1.21</v>
      </c>
      <c r="DB115">
        <f t="shared" si="48"/>
        <v>4.78</v>
      </c>
      <c r="DC115">
        <f t="shared" si="49"/>
        <v>4.91</v>
      </c>
      <c r="DD115" t="s">
        <v>3</v>
      </c>
      <c r="DE115" t="s">
        <v>3</v>
      </c>
      <c r="DF115">
        <f t="shared" si="50"/>
        <v>0</v>
      </c>
      <c r="DG115">
        <f>ROUND(ROUND(AF115*AJ115,2)*CX115,2)</f>
        <v>3.21</v>
      </c>
      <c r="DH115">
        <f t="shared" si="27"/>
        <v>2.73</v>
      </c>
      <c r="DI115">
        <f t="shared" si="42"/>
        <v>0</v>
      </c>
      <c r="DJ115">
        <f>DG115+DH115</f>
        <v>5.9399999999999995</v>
      </c>
      <c r="DK115">
        <v>0</v>
      </c>
      <c r="DL115" t="s">
        <v>523</v>
      </c>
      <c r="DM115">
        <v>4</v>
      </c>
      <c r="DN115" t="s">
        <v>509</v>
      </c>
      <c r="DO115">
        <v>1</v>
      </c>
    </row>
    <row r="116" spans="1:119" x14ac:dyDescent="0.2">
      <c r="A116">
        <f>ROW(Source!A79)</f>
        <v>79</v>
      </c>
      <c r="B116">
        <v>65170852</v>
      </c>
      <c r="C116">
        <v>65171224</v>
      </c>
      <c r="D116">
        <v>56573728</v>
      </c>
      <c r="E116">
        <v>1</v>
      </c>
      <c r="F116">
        <v>1</v>
      </c>
      <c r="G116">
        <v>1</v>
      </c>
      <c r="H116">
        <v>2</v>
      </c>
      <c r="I116" t="s">
        <v>633</v>
      </c>
      <c r="J116" t="s">
        <v>634</v>
      </c>
      <c r="K116" t="s">
        <v>635</v>
      </c>
      <c r="L116">
        <v>1368</v>
      </c>
      <c r="N116">
        <v>1011</v>
      </c>
      <c r="O116" t="s">
        <v>515</v>
      </c>
      <c r="P116" t="s">
        <v>515</v>
      </c>
      <c r="Q116">
        <v>1</v>
      </c>
      <c r="W116">
        <v>0</v>
      </c>
      <c r="X116">
        <v>-1730941074</v>
      </c>
      <c r="Y116">
        <f t="shared" si="47"/>
        <v>1.1200000000000001</v>
      </c>
      <c r="AA116">
        <v>0</v>
      </c>
      <c r="AB116">
        <v>6.04</v>
      </c>
      <c r="AC116">
        <v>0</v>
      </c>
      <c r="AD116">
        <v>0</v>
      </c>
      <c r="AE116">
        <v>0</v>
      </c>
      <c r="AF116">
        <v>6.04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3</v>
      </c>
      <c r="AT116">
        <v>1.1200000000000001</v>
      </c>
      <c r="AU116" t="s">
        <v>3</v>
      </c>
      <c r="AV116">
        <v>1</v>
      </c>
      <c r="AW116">
        <v>2</v>
      </c>
      <c r="AX116">
        <v>65171238</v>
      </c>
      <c r="AY116">
        <v>1</v>
      </c>
      <c r="AZ116">
        <v>0</v>
      </c>
      <c r="BA116">
        <v>111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6.764800000000001</v>
      </c>
      <c r="BL116">
        <v>0</v>
      </c>
      <c r="BM116">
        <v>0</v>
      </c>
      <c r="BN116">
        <v>0</v>
      </c>
      <c r="BO116">
        <v>0</v>
      </c>
      <c r="BP116">
        <v>1</v>
      </c>
      <c r="BQ116">
        <v>0</v>
      </c>
      <c r="BR116">
        <v>6.764800000000001</v>
      </c>
      <c r="BS116">
        <v>0</v>
      </c>
      <c r="BT116">
        <v>0</v>
      </c>
      <c r="BU116">
        <v>0</v>
      </c>
      <c r="BV116">
        <v>0</v>
      </c>
      <c r="BW116">
        <v>1</v>
      </c>
      <c r="CV116">
        <v>0</v>
      </c>
      <c r="CW116">
        <f>ROUND(Y116*Source!I79*DO116,7)</f>
        <v>0</v>
      </c>
      <c r="CX116">
        <f>ROUND(Y116*Source!I79,7)</f>
        <v>0.62216000000000005</v>
      </c>
      <c r="CY116">
        <f>AB116</f>
        <v>6.04</v>
      </c>
      <c r="CZ116">
        <f>AF116</f>
        <v>6.04</v>
      </c>
      <c r="DA116">
        <f>AJ116</f>
        <v>1</v>
      </c>
      <c r="DB116">
        <f t="shared" si="48"/>
        <v>6.76</v>
      </c>
      <c r="DC116">
        <f t="shared" si="49"/>
        <v>0</v>
      </c>
      <c r="DD116" t="s">
        <v>3</v>
      </c>
      <c r="DE116" t="s">
        <v>3</v>
      </c>
      <c r="DF116">
        <f t="shared" si="50"/>
        <v>0</v>
      </c>
      <c r="DG116">
        <f>ROUND(ROUND(AF116,2)*CX116,2)</f>
        <v>3.76</v>
      </c>
      <c r="DH116">
        <f t="shared" si="27"/>
        <v>0</v>
      </c>
      <c r="DI116">
        <f t="shared" si="42"/>
        <v>0</v>
      </c>
      <c r="DJ116">
        <f>DG116+DH116</f>
        <v>3.76</v>
      </c>
      <c r="DK116">
        <v>1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ROW(Source!A79)</f>
        <v>79</v>
      </c>
      <c r="B117">
        <v>65170852</v>
      </c>
      <c r="C117">
        <v>65171224</v>
      </c>
      <c r="D117">
        <v>56609935</v>
      </c>
      <c r="E117">
        <v>1</v>
      </c>
      <c r="F117">
        <v>1</v>
      </c>
      <c r="G117">
        <v>1</v>
      </c>
      <c r="H117">
        <v>3</v>
      </c>
      <c r="I117" t="s">
        <v>580</v>
      </c>
      <c r="J117" t="s">
        <v>581</v>
      </c>
      <c r="K117" t="s">
        <v>582</v>
      </c>
      <c r="L117">
        <v>1348</v>
      </c>
      <c r="N117">
        <v>1009</v>
      </c>
      <c r="O117" t="s">
        <v>94</v>
      </c>
      <c r="P117" t="s">
        <v>94</v>
      </c>
      <c r="Q117">
        <v>1000</v>
      </c>
      <c r="W117">
        <v>0</v>
      </c>
      <c r="X117">
        <v>-269680440</v>
      </c>
      <c r="Y117">
        <f t="shared" si="47"/>
        <v>8.9999999999999993E-3</v>
      </c>
      <c r="AA117">
        <v>75894.62</v>
      </c>
      <c r="AB117">
        <v>0</v>
      </c>
      <c r="AC117">
        <v>0</v>
      </c>
      <c r="AD117">
        <v>0</v>
      </c>
      <c r="AE117">
        <v>51280.15</v>
      </c>
      <c r="AF117">
        <v>0</v>
      </c>
      <c r="AG117">
        <v>0</v>
      </c>
      <c r="AH117">
        <v>0</v>
      </c>
      <c r="AI117">
        <v>1.48</v>
      </c>
      <c r="AJ117">
        <v>1</v>
      </c>
      <c r="AK117">
        <v>1</v>
      </c>
      <c r="AL117">
        <v>1</v>
      </c>
      <c r="AM117">
        <v>2</v>
      </c>
      <c r="AN117">
        <v>0</v>
      </c>
      <c r="AO117">
        <v>0</v>
      </c>
      <c r="AP117">
        <v>0</v>
      </c>
      <c r="AQ117">
        <v>1</v>
      </c>
      <c r="AR117">
        <v>0</v>
      </c>
      <c r="AS117" t="s">
        <v>3</v>
      </c>
      <c r="AT117">
        <v>8.9999999999999993E-3</v>
      </c>
      <c r="AU117" t="s">
        <v>3</v>
      </c>
      <c r="AV117">
        <v>0</v>
      </c>
      <c r="AW117">
        <v>2</v>
      </c>
      <c r="AX117">
        <v>65171239</v>
      </c>
      <c r="AY117">
        <v>1</v>
      </c>
      <c r="AZ117">
        <v>0</v>
      </c>
      <c r="BA117">
        <v>112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461.52134999999998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1</v>
      </c>
      <c r="BQ117">
        <v>461.52134999999998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1</v>
      </c>
      <c r="CV117">
        <v>0</v>
      </c>
      <c r="CW117">
        <v>0</v>
      </c>
      <c r="CX117">
        <f>ROUND(Y117*Source!I79,7)</f>
        <v>4.9994999999999996E-3</v>
      </c>
      <c r="CY117">
        <f>AA117</f>
        <v>75894.62</v>
      </c>
      <c r="CZ117">
        <f>AE117</f>
        <v>51280.15</v>
      </c>
      <c r="DA117">
        <f>AI117</f>
        <v>1.48</v>
      </c>
      <c r="DB117">
        <f t="shared" si="48"/>
        <v>461.52</v>
      </c>
      <c r="DC117">
        <f t="shared" si="49"/>
        <v>0</v>
      </c>
      <c r="DD117" t="s">
        <v>3</v>
      </c>
      <c r="DE117" t="s">
        <v>3</v>
      </c>
      <c r="DF117">
        <f>ROUND(ROUND(AE117*AI117,2)*CX117,2)</f>
        <v>379.44</v>
      </c>
      <c r="DG117">
        <f>ROUND(ROUND(AF117,2)*CX117,2)</f>
        <v>0</v>
      </c>
      <c r="DH117">
        <f t="shared" si="27"/>
        <v>0</v>
      </c>
      <c r="DI117">
        <f t="shared" si="42"/>
        <v>0</v>
      </c>
      <c r="DJ117">
        <f>DF117</f>
        <v>379.44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ROW(Source!A79)</f>
        <v>79</v>
      </c>
      <c r="B118">
        <v>65170852</v>
      </c>
      <c r="C118">
        <v>65171224</v>
      </c>
      <c r="D118">
        <v>56610649</v>
      </c>
      <c r="E118">
        <v>1</v>
      </c>
      <c r="F118">
        <v>1</v>
      </c>
      <c r="G118">
        <v>1</v>
      </c>
      <c r="H118">
        <v>3</v>
      </c>
      <c r="I118" t="s">
        <v>636</v>
      </c>
      <c r="J118" t="s">
        <v>637</v>
      </c>
      <c r="K118" t="s">
        <v>638</v>
      </c>
      <c r="L118">
        <v>1348</v>
      </c>
      <c r="N118">
        <v>1009</v>
      </c>
      <c r="O118" t="s">
        <v>94</v>
      </c>
      <c r="P118" t="s">
        <v>94</v>
      </c>
      <c r="Q118">
        <v>1000</v>
      </c>
      <c r="W118">
        <v>0</v>
      </c>
      <c r="X118">
        <v>-297541960</v>
      </c>
      <c r="Y118">
        <f t="shared" si="47"/>
        <v>1.5E-3</v>
      </c>
      <c r="AA118">
        <v>96374.75</v>
      </c>
      <c r="AB118">
        <v>0</v>
      </c>
      <c r="AC118">
        <v>0</v>
      </c>
      <c r="AD118">
        <v>0</v>
      </c>
      <c r="AE118">
        <v>75885.63</v>
      </c>
      <c r="AF118">
        <v>0</v>
      </c>
      <c r="AG118">
        <v>0</v>
      </c>
      <c r="AH118">
        <v>0</v>
      </c>
      <c r="AI118">
        <v>1.27</v>
      </c>
      <c r="AJ118">
        <v>1</v>
      </c>
      <c r="AK118">
        <v>1</v>
      </c>
      <c r="AL118">
        <v>1</v>
      </c>
      <c r="AM118">
        <v>2</v>
      </c>
      <c r="AN118">
        <v>0</v>
      </c>
      <c r="AO118">
        <v>0</v>
      </c>
      <c r="AP118">
        <v>0</v>
      </c>
      <c r="AQ118">
        <v>1</v>
      </c>
      <c r="AR118">
        <v>0</v>
      </c>
      <c r="AS118" t="s">
        <v>3</v>
      </c>
      <c r="AT118">
        <v>1.5E-3</v>
      </c>
      <c r="AU118" t="s">
        <v>3</v>
      </c>
      <c r="AV118">
        <v>0</v>
      </c>
      <c r="AW118">
        <v>2</v>
      </c>
      <c r="AX118">
        <v>65171240</v>
      </c>
      <c r="AY118">
        <v>1</v>
      </c>
      <c r="AZ118">
        <v>0</v>
      </c>
      <c r="BA118">
        <v>113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113.82844500000002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1</v>
      </c>
      <c r="BQ118">
        <v>113.82844500000002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1</v>
      </c>
      <c r="CV118">
        <v>0</v>
      </c>
      <c r="CW118">
        <v>0</v>
      </c>
      <c r="CX118">
        <f>ROUND(Y118*Source!I79,7)</f>
        <v>8.3330000000000003E-4</v>
      </c>
      <c r="CY118">
        <f>AA118</f>
        <v>96374.75</v>
      </c>
      <c r="CZ118">
        <f>AE118</f>
        <v>75885.63</v>
      </c>
      <c r="DA118">
        <f>AI118</f>
        <v>1.27</v>
      </c>
      <c r="DB118">
        <f t="shared" si="48"/>
        <v>113.83</v>
      </c>
      <c r="DC118">
        <f t="shared" si="49"/>
        <v>0</v>
      </c>
      <c r="DD118" t="s">
        <v>3</v>
      </c>
      <c r="DE118" t="s">
        <v>3</v>
      </c>
      <c r="DF118">
        <f>ROUND(ROUND(AE118*AI118,2)*CX118,2)</f>
        <v>80.31</v>
      </c>
      <c r="DG118">
        <f>ROUND(ROUND(AF118,2)*CX118,2)</f>
        <v>0</v>
      </c>
      <c r="DH118">
        <f t="shared" si="27"/>
        <v>0</v>
      </c>
      <c r="DI118">
        <f t="shared" si="42"/>
        <v>0</v>
      </c>
      <c r="DJ118">
        <f>DF118</f>
        <v>80.31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ROW(Source!A80)</f>
        <v>80</v>
      </c>
      <c r="B119">
        <v>65170852</v>
      </c>
      <c r="C119">
        <v>65171241</v>
      </c>
      <c r="D119">
        <v>37064928</v>
      </c>
      <c r="E119">
        <v>108</v>
      </c>
      <c r="F119">
        <v>1</v>
      </c>
      <c r="G119">
        <v>1</v>
      </c>
      <c r="H119">
        <v>1</v>
      </c>
      <c r="I119" t="s">
        <v>639</v>
      </c>
      <c r="J119" t="s">
        <v>3</v>
      </c>
      <c r="K119" t="s">
        <v>640</v>
      </c>
      <c r="L119">
        <v>1191</v>
      </c>
      <c r="N119">
        <v>1013</v>
      </c>
      <c r="O119" t="s">
        <v>509</v>
      </c>
      <c r="P119" t="s">
        <v>509</v>
      </c>
      <c r="Q119">
        <v>1</v>
      </c>
      <c r="W119">
        <v>0</v>
      </c>
      <c r="X119">
        <v>1893946532</v>
      </c>
      <c r="Y119">
        <f t="shared" si="47"/>
        <v>2.13</v>
      </c>
      <c r="AA119">
        <v>0</v>
      </c>
      <c r="AB119">
        <v>0</v>
      </c>
      <c r="AC119">
        <v>0</v>
      </c>
      <c r="AD119">
        <v>463.09</v>
      </c>
      <c r="AE119">
        <v>0</v>
      </c>
      <c r="AF119">
        <v>0</v>
      </c>
      <c r="AG119">
        <v>0</v>
      </c>
      <c r="AH119">
        <v>463.09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1</v>
      </c>
      <c r="AQ119">
        <v>1</v>
      </c>
      <c r="AR119">
        <v>0</v>
      </c>
      <c r="AS119" t="s">
        <v>3</v>
      </c>
      <c r="AT119">
        <v>2.13</v>
      </c>
      <c r="AU119" t="s">
        <v>3</v>
      </c>
      <c r="AV119">
        <v>1</v>
      </c>
      <c r="AW119">
        <v>2</v>
      </c>
      <c r="AX119">
        <v>65171250</v>
      </c>
      <c r="AY119">
        <v>1</v>
      </c>
      <c r="AZ119">
        <v>0</v>
      </c>
      <c r="BA119">
        <v>114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986.38169999999991</v>
      </c>
      <c r="BN119">
        <v>2.13</v>
      </c>
      <c r="BO119">
        <v>0</v>
      </c>
      <c r="BP119">
        <v>1</v>
      </c>
      <c r="BQ119">
        <v>0</v>
      </c>
      <c r="BR119">
        <v>0</v>
      </c>
      <c r="BS119">
        <v>0</v>
      </c>
      <c r="BT119">
        <v>986.38169999999991</v>
      </c>
      <c r="BU119">
        <v>2.13</v>
      </c>
      <c r="BV119">
        <v>0</v>
      </c>
      <c r="BW119">
        <v>1</v>
      </c>
      <c r="CU119">
        <f>ROUND(AT119*Source!I80*AH119*AL119,2)</f>
        <v>547.94000000000005</v>
      </c>
      <c r="CV119">
        <f>ROUND(Y119*Source!I80,7)</f>
        <v>1.1832149999999999</v>
      </c>
      <c r="CW119">
        <v>0</v>
      </c>
      <c r="CX119">
        <f>ROUND(Y119*Source!I80,7)</f>
        <v>1.1832149999999999</v>
      </c>
      <c r="CY119">
        <f>AD119</f>
        <v>463.09</v>
      </c>
      <c r="CZ119">
        <f>AH119</f>
        <v>463.09</v>
      </c>
      <c r="DA119">
        <f>AL119</f>
        <v>1</v>
      </c>
      <c r="DB119">
        <f t="shared" si="48"/>
        <v>986.38</v>
      </c>
      <c r="DC119">
        <f t="shared" si="49"/>
        <v>0</v>
      </c>
      <c r="DD119" t="s">
        <v>3</v>
      </c>
      <c r="DE119" t="s">
        <v>3</v>
      </c>
      <c r="DF119">
        <f t="shared" ref="DF119:DF124" si="51">ROUND(ROUND(AE119,2)*CX119,2)</f>
        <v>0</v>
      </c>
      <c r="DG119">
        <f>ROUND(ROUND(AF119,2)*CX119,2)</f>
        <v>0</v>
      </c>
      <c r="DH119">
        <f t="shared" si="27"/>
        <v>0</v>
      </c>
      <c r="DI119">
        <f t="shared" si="42"/>
        <v>547.94000000000005</v>
      </c>
      <c r="DJ119">
        <f>DI119</f>
        <v>547.94000000000005</v>
      </c>
      <c r="DK119">
        <v>1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ROW(Source!A80)</f>
        <v>80</v>
      </c>
      <c r="B120">
        <v>65170852</v>
      </c>
      <c r="C120">
        <v>65171241</v>
      </c>
      <c r="D120">
        <v>37064876</v>
      </c>
      <c r="E120">
        <v>108</v>
      </c>
      <c r="F120">
        <v>1</v>
      </c>
      <c r="G120">
        <v>1</v>
      </c>
      <c r="H120">
        <v>1</v>
      </c>
      <c r="I120" t="s">
        <v>510</v>
      </c>
      <c r="J120" t="s">
        <v>3</v>
      </c>
      <c r="K120" t="s">
        <v>511</v>
      </c>
      <c r="L120">
        <v>1191</v>
      </c>
      <c r="N120">
        <v>1013</v>
      </c>
      <c r="O120" t="s">
        <v>509</v>
      </c>
      <c r="P120" t="s">
        <v>509</v>
      </c>
      <c r="Q120">
        <v>1</v>
      </c>
      <c r="W120">
        <v>0</v>
      </c>
      <c r="X120">
        <v>-1417349443</v>
      </c>
      <c r="Y120">
        <f t="shared" si="47"/>
        <v>0.02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3</v>
      </c>
      <c r="AT120">
        <v>0.02</v>
      </c>
      <c r="AU120" t="s">
        <v>3</v>
      </c>
      <c r="AV120">
        <v>2</v>
      </c>
      <c r="AW120">
        <v>2</v>
      </c>
      <c r="AX120">
        <v>65171251</v>
      </c>
      <c r="AY120">
        <v>1</v>
      </c>
      <c r="AZ120">
        <v>0</v>
      </c>
      <c r="BA120">
        <v>115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v>0</v>
      </c>
      <c r="CX120">
        <f>ROUND(Y120*Source!I80,7)</f>
        <v>1.111E-2</v>
      </c>
      <c r="CY120">
        <f>AD120</f>
        <v>0</v>
      </c>
      <c r="CZ120">
        <f>AH120</f>
        <v>0</v>
      </c>
      <c r="DA120">
        <f>AL120</f>
        <v>1</v>
      </c>
      <c r="DB120">
        <f t="shared" si="48"/>
        <v>0</v>
      </c>
      <c r="DC120">
        <f t="shared" si="49"/>
        <v>0</v>
      </c>
      <c r="DD120" t="s">
        <v>3</v>
      </c>
      <c r="DE120" t="s">
        <v>3</v>
      </c>
      <c r="DF120">
        <f t="shared" si="51"/>
        <v>0</v>
      </c>
      <c r="DG120">
        <f>ROUND(ROUND(AF120,2)*CX120,2)</f>
        <v>0</v>
      </c>
      <c r="DH120">
        <f t="shared" si="27"/>
        <v>0</v>
      </c>
      <c r="DI120">
        <f t="shared" si="42"/>
        <v>0</v>
      </c>
      <c r="DJ120">
        <f>DI120</f>
        <v>0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ROW(Source!A80)</f>
        <v>80</v>
      </c>
      <c r="B121">
        <v>65170852</v>
      </c>
      <c r="C121">
        <v>65171241</v>
      </c>
      <c r="D121">
        <v>56571642</v>
      </c>
      <c r="E121">
        <v>1</v>
      </c>
      <c r="F121">
        <v>1</v>
      </c>
      <c r="G121">
        <v>1</v>
      </c>
      <c r="H121">
        <v>2</v>
      </c>
      <c r="I121" t="s">
        <v>619</v>
      </c>
      <c r="J121" t="s">
        <v>620</v>
      </c>
      <c r="K121" t="s">
        <v>621</v>
      </c>
      <c r="L121">
        <v>1368</v>
      </c>
      <c r="N121">
        <v>1011</v>
      </c>
      <c r="O121" t="s">
        <v>515</v>
      </c>
      <c r="P121" t="s">
        <v>515</v>
      </c>
      <c r="Q121">
        <v>1</v>
      </c>
      <c r="W121">
        <v>0</v>
      </c>
      <c r="X121">
        <v>-262943181</v>
      </c>
      <c r="Y121">
        <f t="shared" si="47"/>
        <v>0.01</v>
      </c>
      <c r="AA121">
        <v>0</v>
      </c>
      <c r="AB121">
        <v>9</v>
      </c>
      <c r="AC121">
        <v>0</v>
      </c>
      <c r="AD121">
        <v>0</v>
      </c>
      <c r="AE121">
        <v>0</v>
      </c>
      <c r="AF121">
        <v>6.62</v>
      </c>
      <c r="AG121">
        <v>0</v>
      </c>
      <c r="AH121">
        <v>0</v>
      </c>
      <c r="AI121">
        <v>1</v>
      </c>
      <c r="AJ121">
        <v>1.36</v>
      </c>
      <c r="AK121">
        <v>1</v>
      </c>
      <c r="AL121">
        <v>1</v>
      </c>
      <c r="AM121">
        <v>2</v>
      </c>
      <c r="AN121">
        <v>0</v>
      </c>
      <c r="AO121">
        <v>0</v>
      </c>
      <c r="AP121">
        <v>1</v>
      </c>
      <c r="AQ121">
        <v>1</v>
      </c>
      <c r="AR121">
        <v>0</v>
      </c>
      <c r="AS121" t="s">
        <v>3</v>
      </c>
      <c r="AT121">
        <v>0.01</v>
      </c>
      <c r="AU121" t="s">
        <v>3</v>
      </c>
      <c r="AV121">
        <v>1</v>
      </c>
      <c r="AW121">
        <v>2</v>
      </c>
      <c r="AX121">
        <v>65171252</v>
      </c>
      <c r="AY121">
        <v>1</v>
      </c>
      <c r="AZ121">
        <v>0</v>
      </c>
      <c r="BA121">
        <v>116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6.6200000000000009E-2</v>
      </c>
      <c r="BL121">
        <v>0</v>
      </c>
      <c r="BM121">
        <v>0</v>
      </c>
      <c r="BN121">
        <v>0</v>
      </c>
      <c r="BO121">
        <v>0</v>
      </c>
      <c r="BP121">
        <v>1</v>
      </c>
      <c r="BQ121">
        <v>0</v>
      </c>
      <c r="BR121">
        <v>6.6200000000000009E-2</v>
      </c>
      <c r="BS121">
        <v>0</v>
      </c>
      <c r="BT121">
        <v>0</v>
      </c>
      <c r="BU121">
        <v>0</v>
      </c>
      <c r="BV121">
        <v>0</v>
      </c>
      <c r="BW121">
        <v>1</v>
      </c>
      <c r="CV121">
        <v>0</v>
      </c>
      <c r="CW121">
        <f>ROUND(Y121*Source!I80*DO121,7)</f>
        <v>0</v>
      </c>
      <c r="CX121">
        <f>ROUND(Y121*Source!I80,7)</f>
        <v>5.555E-3</v>
      </c>
      <c r="CY121">
        <f>AB121</f>
        <v>9</v>
      </c>
      <c r="CZ121">
        <f>AF121</f>
        <v>6.62</v>
      </c>
      <c r="DA121">
        <f>AJ121</f>
        <v>1.36</v>
      </c>
      <c r="DB121">
        <f t="shared" si="48"/>
        <v>7.0000000000000007E-2</v>
      </c>
      <c r="DC121">
        <f t="shared" si="49"/>
        <v>0</v>
      </c>
      <c r="DD121" t="s">
        <v>3</v>
      </c>
      <c r="DE121" t="s">
        <v>3</v>
      </c>
      <c r="DF121">
        <f t="shared" si="51"/>
        <v>0</v>
      </c>
      <c r="DG121">
        <f>ROUND(ROUND(AF121*AJ121,2)*CX121,2)</f>
        <v>0.05</v>
      </c>
      <c r="DH121">
        <f t="shared" si="27"/>
        <v>0</v>
      </c>
      <c r="DI121">
        <f t="shared" si="42"/>
        <v>0</v>
      </c>
      <c r="DJ121">
        <f>DG121+DH121</f>
        <v>0.05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ROW(Source!A80)</f>
        <v>80</v>
      </c>
      <c r="B122">
        <v>65170852</v>
      </c>
      <c r="C122">
        <v>65171241</v>
      </c>
      <c r="D122">
        <v>56571671</v>
      </c>
      <c r="E122">
        <v>1</v>
      </c>
      <c r="F122">
        <v>1</v>
      </c>
      <c r="G122">
        <v>1</v>
      </c>
      <c r="H122">
        <v>2</v>
      </c>
      <c r="I122" t="s">
        <v>622</v>
      </c>
      <c r="J122" t="s">
        <v>623</v>
      </c>
      <c r="K122" t="s">
        <v>624</v>
      </c>
      <c r="L122">
        <v>1368</v>
      </c>
      <c r="N122">
        <v>1011</v>
      </c>
      <c r="O122" t="s">
        <v>515</v>
      </c>
      <c r="P122" t="s">
        <v>515</v>
      </c>
      <c r="Q122">
        <v>1</v>
      </c>
      <c r="W122">
        <v>0</v>
      </c>
      <c r="X122">
        <v>-2044682579</v>
      </c>
      <c r="Y122">
        <f t="shared" si="47"/>
        <v>0.01</v>
      </c>
      <c r="AA122">
        <v>0</v>
      </c>
      <c r="AB122">
        <v>1558.39</v>
      </c>
      <c r="AC122">
        <v>563.76</v>
      </c>
      <c r="AD122">
        <v>0</v>
      </c>
      <c r="AE122">
        <v>0</v>
      </c>
      <c r="AF122">
        <v>1558.39</v>
      </c>
      <c r="AG122">
        <v>563.76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0</v>
      </c>
      <c r="AP122">
        <v>1</v>
      </c>
      <c r="AQ122">
        <v>1</v>
      </c>
      <c r="AR122">
        <v>0</v>
      </c>
      <c r="AS122" t="s">
        <v>3</v>
      </c>
      <c r="AT122">
        <v>0.01</v>
      </c>
      <c r="AU122" t="s">
        <v>3</v>
      </c>
      <c r="AV122">
        <v>1</v>
      </c>
      <c r="AW122">
        <v>2</v>
      </c>
      <c r="AX122">
        <v>65171253</v>
      </c>
      <c r="AY122">
        <v>1</v>
      </c>
      <c r="AZ122">
        <v>0</v>
      </c>
      <c r="BA122">
        <v>117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15.583900000000002</v>
      </c>
      <c r="BL122">
        <v>5.6375999999999999</v>
      </c>
      <c r="BM122">
        <v>0</v>
      </c>
      <c r="BN122">
        <v>0</v>
      </c>
      <c r="BO122">
        <v>0.01</v>
      </c>
      <c r="BP122">
        <v>1</v>
      </c>
      <c r="BQ122">
        <v>0</v>
      </c>
      <c r="BR122">
        <v>15.583900000000002</v>
      </c>
      <c r="BS122">
        <v>5.6375999999999999</v>
      </c>
      <c r="BT122">
        <v>0</v>
      </c>
      <c r="BU122">
        <v>0</v>
      </c>
      <c r="BV122">
        <v>0.01</v>
      </c>
      <c r="BW122">
        <v>1</v>
      </c>
      <c r="CV122">
        <v>0</v>
      </c>
      <c r="CW122">
        <f>ROUND(Y122*Source!I80*DO122,7)</f>
        <v>5.555E-3</v>
      </c>
      <c r="CX122">
        <f>ROUND(Y122*Source!I80,7)</f>
        <v>5.555E-3</v>
      </c>
      <c r="CY122">
        <f>AB122</f>
        <v>1558.39</v>
      </c>
      <c r="CZ122">
        <f>AF122</f>
        <v>1558.39</v>
      </c>
      <c r="DA122">
        <f>AJ122</f>
        <v>1</v>
      </c>
      <c r="DB122">
        <f t="shared" si="48"/>
        <v>15.58</v>
      </c>
      <c r="DC122">
        <f t="shared" si="49"/>
        <v>5.64</v>
      </c>
      <c r="DD122" t="s">
        <v>3</v>
      </c>
      <c r="DE122" t="s">
        <v>3</v>
      </c>
      <c r="DF122">
        <f t="shared" si="51"/>
        <v>0</v>
      </c>
      <c r="DG122">
        <f>ROUND(ROUND(AF122,2)*CX122,2)</f>
        <v>8.66</v>
      </c>
      <c r="DH122">
        <f t="shared" si="27"/>
        <v>3.13</v>
      </c>
      <c r="DI122">
        <f t="shared" si="42"/>
        <v>0</v>
      </c>
      <c r="DJ122">
        <f>DG122+DH122</f>
        <v>11.79</v>
      </c>
      <c r="DK122">
        <v>1</v>
      </c>
      <c r="DL122" t="s">
        <v>593</v>
      </c>
      <c r="DM122">
        <v>5</v>
      </c>
      <c r="DN122" t="s">
        <v>509</v>
      </c>
      <c r="DO122">
        <v>1</v>
      </c>
    </row>
    <row r="123" spans="1:119" x14ac:dyDescent="0.2">
      <c r="A123">
        <f>ROW(Source!A80)</f>
        <v>80</v>
      </c>
      <c r="B123">
        <v>65170852</v>
      </c>
      <c r="C123">
        <v>65171241</v>
      </c>
      <c r="D123">
        <v>56572833</v>
      </c>
      <c r="E123">
        <v>1</v>
      </c>
      <c r="F123">
        <v>1</v>
      </c>
      <c r="G123">
        <v>1</v>
      </c>
      <c r="H123">
        <v>2</v>
      </c>
      <c r="I123" t="s">
        <v>520</v>
      </c>
      <c r="J123" t="s">
        <v>521</v>
      </c>
      <c r="K123" t="s">
        <v>522</v>
      </c>
      <c r="L123">
        <v>1368</v>
      </c>
      <c r="N123">
        <v>1011</v>
      </c>
      <c r="O123" t="s">
        <v>515</v>
      </c>
      <c r="P123" t="s">
        <v>515</v>
      </c>
      <c r="Q123">
        <v>1</v>
      </c>
      <c r="W123">
        <v>0</v>
      </c>
      <c r="X123">
        <v>1230426758</v>
      </c>
      <c r="Y123">
        <f t="shared" si="47"/>
        <v>0.01</v>
      </c>
      <c r="AA123">
        <v>0</v>
      </c>
      <c r="AB123">
        <v>578.28</v>
      </c>
      <c r="AC123">
        <v>490.55</v>
      </c>
      <c r="AD123">
        <v>0</v>
      </c>
      <c r="AE123">
        <v>0</v>
      </c>
      <c r="AF123">
        <v>477.92</v>
      </c>
      <c r="AG123">
        <v>490.55</v>
      </c>
      <c r="AH123">
        <v>0</v>
      </c>
      <c r="AI123">
        <v>1</v>
      </c>
      <c r="AJ123">
        <v>1.21</v>
      </c>
      <c r="AK123">
        <v>1</v>
      </c>
      <c r="AL123">
        <v>1</v>
      </c>
      <c r="AM123">
        <v>2</v>
      </c>
      <c r="AN123">
        <v>0</v>
      </c>
      <c r="AO123">
        <v>0</v>
      </c>
      <c r="AP123">
        <v>1</v>
      </c>
      <c r="AQ123">
        <v>1</v>
      </c>
      <c r="AR123">
        <v>0</v>
      </c>
      <c r="AS123" t="s">
        <v>3</v>
      </c>
      <c r="AT123">
        <v>0.01</v>
      </c>
      <c r="AU123" t="s">
        <v>3</v>
      </c>
      <c r="AV123">
        <v>1</v>
      </c>
      <c r="AW123">
        <v>2</v>
      </c>
      <c r="AX123">
        <v>65171254</v>
      </c>
      <c r="AY123">
        <v>1</v>
      </c>
      <c r="AZ123">
        <v>0</v>
      </c>
      <c r="BA123">
        <v>118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4.7792000000000003</v>
      </c>
      <c r="BL123">
        <v>4.9055</v>
      </c>
      <c r="BM123">
        <v>0</v>
      </c>
      <c r="BN123">
        <v>0</v>
      </c>
      <c r="BO123">
        <v>0.01</v>
      </c>
      <c r="BP123">
        <v>1</v>
      </c>
      <c r="BQ123">
        <v>0</v>
      </c>
      <c r="BR123">
        <v>4.7792000000000003</v>
      </c>
      <c r="BS123">
        <v>4.9055</v>
      </c>
      <c r="BT123">
        <v>0</v>
      </c>
      <c r="BU123">
        <v>0</v>
      </c>
      <c r="BV123">
        <v>0.01</v>
      </c>
      <c r="BW123">
        <v>1</v>
      </c>
      <c r="CV123">
        <v>0</v>
      </c>
      <c r="CW123">
        <f>ROUND(Y123*Source!I80*DO123,7)</f>
        <v>5.555E-3</v>
      </c>
      <c r="CX123">
        <f>ROUND(Y123*Source!I80,7)</f>
        <v>5.555E-3</v>
      </c>
      <c r="CY123">
        <f>AB123</f>
        <v>578.28</v>
      </c>
      <c r="CZ123">
        <f>AF123</f>
        <v>477.92</v>
      </c>
      <c r="DA123">
        <f>AJ123</f>
        <v>1.21</v>
      </c>
      <c r="DB123">
        <f t="shared" si="48"/>
        <v>4.78</v>
      </c>
      <c r="DC123">
        <f t="shared" si="49"/>
        <v>4.91</v>
      </c>
      <c r="DD123" t="s">
        <v>3</v>
      </c>
      <c r="DE123" t="s">
        <v>3</v>
      </c>
      <c r="DF123">
        <f t="shared" si="51"/>
        <v>0</v>
      </c>
      <c r="DG123">
        <f>ROUND(ROUND(AF123*AJ123,2)*CX123,2)</f>
        <v>3.21</v>
      </c>
      <c r="DH123">
        <f t="shared" si="27"/>
        <v>2.73</v>
      </c>
      <c r="DI123">
        <f t="shared" si="42"/>
        <v>0</v>
      </c>
      <c r="DJ123">
        <f>DG123+DH123</f>
        <v>5.9399999999999995</v>
      </c>
      <c r="DK123">
        <v>0</v>
      </c>
      <c r="DL123" t="s">
        <v>523</v>
      </c>
      <c r="DM123">
        <v>4</v>
      </c>
      <c r="DN123" t="s">
        <v>509</v>
      </c>
      <c r="DO123">
        <v>1</v>
      </c>
    </row>
    <row r="124" spans="1:119" x14ac:dyDescent="0.2">
      <c r="A124">
        <f>ROW(Source!A80)</f>
        <v>80</v>
      </c>
      <c r="B124">
        <v>65170852</v>
      </c>
      <c r="C124">
        <v>65171241</v>
      </c>
      <c r="D124">
        <v>56573728</v>
      </c>
      <c r="E124">
        <v>1</v>
      </c>
      <c r="F124">
        <v>1</v>
      </c>
      <c r="G124">
        <v>1</v>
      </c>
      <c r="H124">
        <v>2</v>
      </c>
      <c r="I124" t="s">
        <v>633</v>
      </c>
      <c r="J124" t="s">
        <v>634</v>
      </c>
      <c r="K124" t="s">
        <v>635</v>
      </c>
      <c r="L124">
        <v>1368</v>
      </c>
      <c r="N124">
        <v>1011</v>
      </c>
      <c r="O124" t="s">
        <v>515</v>
      </c>
      <c r="P124" t="s">
        <v>515</v>
      </c>
      <c r="Q124">
        <v>1</v>
      </c>
      <c r="W124">
        <v>0</v>
      </c>
      <c r="X124">
        <v>-1730941074</v>
      </c>
      <c r="Y124">
        <f t="shared" si="47"/>
        <v>0.65</v>
      </c>
      <c r="AA124">
        <v>0</v>
      </c>
      <c r="AB124">
        <v>6.04</v>
      </c>
      <c r="AC124">
        <v>0</v>
      </c>
      <c r="AD124">
        <v>0</v>
      </c>
      <c r="AE124">
        <v>0</v>
      </c>
      <c r="AF124">
        <v>6.04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0</v>
      </c>
      <c r="AP124">
        <v>1</v>
      </c>
      <c r="AQ124">
        <v>1</v>
      </c>
      <c r="AR124">
        <v>0</v>
      </c>
      <c r="AS124" t="s">
        <v>3</v>
      </c>
      <c r="AT124">
        <v>0.65</v>
      </c>
      <c r="AU124" t="s">
        <v>3</v>
      </c>
      <c r="AV124">
        <v>1</v>
      </c>
      <c r="AW124">
        <v>2</v>
      </c>
      <c r="AX124">
        <v>65171255</v>
      </c>
      <c r="AY124">
        <v>1</v>
      </c>
      <c r="AZ124">
        <v>0</v>
      </c>
      <c r="BA124">
        <v>119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3.9260000000000002</v>
      </c>
      <c r="BL124">
        <v>0</v>
      </c>
      <c r="BM124">
        <v>0</v>
      </c>
      <c r="BN124">
        <v>0</v>
      </c>
      <c r="BO124">
        <v>0</v>
      </c>
      <c r="BP124">
        <v>1</v>
      </c>
      <c r="BQ124">
        <v>0</v>
      </c>
      <c r="BR124">
        <v>3.9260000000000002</v>
      </c>
      <c r="BS124">
        <v>0</v>
      </c>
      <c r="BT124">
        <v>0</v>
      </c>
      <c r="BU124">
        <v>0</v>
      </c>
      <c r="BV124">
        <v>0</v>
      </c>
      <c r="BW124">
        <v>1</v>
      </c>
      <c r="CV124">
        <v>0</v>
      </c>
      <c r="CW124">
        <f>ROUND(Y124*Source!I80*DO124,7)</f>
        <v>0</v>
      </c>
      <c r="CX124">
        <f>ROUND(Y124*Source!I80,7)</f>
        <v>0.36107499999999998</v>
      </c>
      <c r="CY124">
        <f>AB124</f>
        <v>6.04</v>
      </c>
      <c r="CZ124">
        <f>AF124</f>
        <v>6.04</v>
      </c>
      <c r="DA124">
        <f>AJ124</f>
        <v>1</v>
      </c>
      <c r="DB124">
        <f t="shared" si="48"/>
        <v>3.93</v>
      </c>
      <c r="DC124">
        <f t="shared" si="49"/>
        <v>0</v>
      </c>
      <c r="DD124" t="s">
        <v>3</v>
      </c>
      <c r="DE124" t="s">
        <v>3</v>
      </c>
      <c r="DF124">
        <f t="shared" si="51"/>
        <v>0</v>
      </c>
      <c r="DG124">
        <f>ROUND(ROUND(AF124,2)*CX124,2)</f>
        <v>2.1800000000000002</v>
      </c>
      <c r="DH124">
        <f t="shared" si="27"/>
        <v>0</v>
      </c>
      <c r="DI124">
        <f t="shared" si="42"/>
        <v>0</v>
      </c>
      <c r="DJ124">
        <f>DG124+DH124</f>
        <v>2.1800000000000002</v>
      </c>
      <c r="DK124">
        <v>1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ROW(Source!A80)</f>
        <v>80</v>
      </c>
      <c r="B125">
        <v>65170852</v>
      </c>
      <c r="C125">
        <v>65171241</v>
      </c>
      <c r="D125">
        <v>56610244</v>
      </c>
      <c r="E125">
        <v>1</v>
      </c>
      <c r="F125">
        <v>1</v>
      </c>
      <c r="G125">
        <v>1</v>
      </c>
      <c r="H125">
        <v>3</v>
      </c>
      <c r="I125" t="s">
        <v>641</v>
      </c>
      <c r="J125" t="s">
        <v>642</v>
      </c>
      <c r="K125" t="s">
        <v>643</v>
      </c>
      <c r="L125">
        <v>1348</v>
      </c>
      <c r="N125">
        <v>1009</v>
      </c>
      <c r="O125" t="s">
        <v>94</v>
      </c>
      <c r="P125" t="s">
        <v>94</v>
      </c>
      <c r="Q125">
        <v>1000</v>
      </c>
      <c r="W125">
        <v>0</v>
      </c>
      <c r="X125">
        <v>-1583120182</v>
      </c>
      <c r="Y125">
        <f t="shared" si="47"/>
        <v>8.9999999999999993E-3</v>
      </c>
      <c r="AA125">
        <v>102677.55</v>
      </c>
      <c r="AB125">
        <v>0</v>
      </c>
      <c r="AC125">
        <v>0</v>
      </c>
      <c r="AD125">
        <v>0</v>
      </c>
      <c r="AE125">
        <v>60045.35</v>
      </c>
      <c r="AF125">
        <v>0</v>
      </c>
      <c r="AG125">
        <v>0</v>
      </c>
      <c r="AH125">
        <v>0</v>
      </c>
      <c r="AI125">
        <v>1.71</v>
      </c>
      <c r="AJ125">
        <v>1</v>
      </c>
      <c r="AK125">
        <v>1</v>
      </c>
      <c r="AL125">
        <v>1</v>
      </c>
      <c r="AM125">
        <v>2</v>
      </c>
      <c r="AN125">
        <v>0</v>
      </c>
      <c r="AO125">
        <v>0</v>
      </c>
      <c r="AP125">
        <v>0</v>
      </c>
      <c r="AQ125">
        <v>1</v>
      </c>
      <c r="AR125">
        <v>0</v>
      </c>
      <c r="AS125" t="s">
        <v>3</v>
      </c>
      <c r="AT125">
        <v>8.9999999999999993E-3</v>
      </c>
      <c r="AU125" t="s">
        <v>3</v>
      </c>
      <c r="AV125">
        <v>0</v>
      </c>
      <c r="AW125">
        <v>2</v>
      </c>
      <c r="AX125">
        <v>65171256</v>
      </c>
      <c r="AY125">
        <v>1</v>
      </c>
      <c r="AZ125">
        <v>0</v>
      </c>
      <c r="BA125">
        <v>120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540.40814999999998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1</v>
      </c>
      <c r="BQ125">
        <v>540.40814999999998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1</v>
      </c>
      <c r="CV125">
        <v>0</v>
      </c>
      <c r="CW125">
        <v>0</v>
      </c>
      <c r="CX125">
        <f>ROUND(Y125*Source!I80,7)</f>
        <v>4.9994999999999996E-3</v>
      </c>
      <c r="CY125">
        <f>AA125</f>
        <v>102677.55</v>
      </c>
      <c r="CZ125">
        <f>AE125</f>
        <v>60045.35</v>
      </c>
      <c r="DA125">
        <f>AI125</f>
        <v>1.71</v>
      </c>
      <c r="DB125">
        <f t="shared" si="48"/>
        <v>540.41</v>
      </c>
      <c r="DC125">
        <f t="shared" si="49"/>
        <v>0</v>
      </c>
      <c r="DD125" t="s">
        <v>3</v>
      </c>
      <c r="DE125" t="s">
        <v>3</v>
      </c>
      <c r="DF125">
        <f>ROUND(ROUND(AE125*AI125,2)*CX125,2)</f>
        <v>513.34</v>
      </c>
      <c r="DG125">
        <f>ROUND(ROUND(AF125,2)*CX125,2)</f>
        <v>0</v>
      </c>
      <c r="DH125">
        <f t="shared" si="27"/>
        <v>0</v>
      </c>
      <c r="DI125">
        <f t="shared" si="42"/>
        <v>0</v>
      </c>
      <c r="DJ125">
        <f>DF125</f>
        <v>513.34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ROW(Source!A80)</f>
        <v>80</v>
      </c>
      <c r="B126">
        <v>65170852</v>
      </c>
      <c r="C126">
        <v>65171241</v>
      </c>
      <c r="D126">
        <v>56610726</v>
      </c>
      <c r="E126">
        <v>1</v>
      </c>
      <c r="F126">
        <v>1</v>
      </c>
      <c r="G126">
        <v>1</v>
      </c>
      <c r="H126">
        <v>3</v>
      </c>
      <c r="I126" t="s">
        <v>628</v>
      </c>
      <c r="J126" t="s">
        <v>629</v>
      </c>
      <c r="K126" t="s">
        <v>630</v>
      </c>
      <c r="L126">
        <v>1346</v>
      </c>
      <c r="N126">
        <v>1009</v>
      </c>
      <c r="O126" t="s">
        <v>549</v>
      </c>
      <c r="P126" t="s">
        <v>549</v>
      </c>
      <c r="Q126">
        <v>1</v>
      </c>
      <c r="W126">
        <v>0</v>
      </c>
      <c r="X126">
        <v>-710112584</v>
      </c>
      <c r="Y126">
        <f t="shared" si="47"/>
        <v>1.4</v>
      </c>
      <c r="AA126">
        <v>76.959999999999994</v>
      </c>
      <c r="AB126">
        <v>0</v>
      </c>
      <c r="AC126">
        <v>0</v>
      </c>
      <c r="AD126">
        <v>0</v>
      </c>
      <c r="AE126">
        <v>60.6</v>
      </c>
      <c r="AF126">
        <v>0</v>
      </c>
      <c r="AG126">
        <v>0</v>
      </c>
      <c r="AH126">
        <v>0</v>
      </c>
      <c r="AI126">
        <v>1.27</v>
      </c>
      <c r="AJ126">
        <v>1</v>
      </c>
      <c r="AK126">
        <v>1</v>
      </c>
      <c r="AL126">
        <v>1</v>
      </c>
      <c r="AM126">
        <v>2</v>
      </c>
      <c r="AN126">
        <v>0</v>
      </c>
      <c r="AO126">
        <v>0</v>
      </c>
      <c r="AP126">
        <v>0</v>
      </c>
      <c r="AQ126">
        <v>1</v>
      </c>
      <c r="AR126">
        <v>0</v>
      </c>
      <c r="AS126" t="s">
        <v>3</v>
      </c>
      <c r="AT126">
        <v>1.4</v>
      </c>
      <c r="AU126" t="s">
        <v>3</v>
      </c>
      <c r="AV126">
        <v>0</v>
      </c>
      <c r="AW126">
        <v>2</v>
      </c>
      <c r="AX126">
        <v>65171257</v>
      </c>
      <c r="AY126">
        <v>1</v>
      </c>
      <c r="AZ126">
        <v>0</v>
      </c>
      <c r="BA126">
        <v>121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84.84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1</v>
      </c>
      <c r="BQ126">
        <v>84.84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1</v>
      </c>
      <c r="CV126">
        <v>0</v>
      </c>
      <c r="CW126">
        <v>0</v>
      </c>
      <c r="CX126">
        <f>ROUND(Y126*Source!I80,7)</f>
        <v>0.77769999999999995</v>
      </c>
      <c r="CY126">
        <f>AA126</f>
        <v>76.959999999999994</v>
      </c>
      <c r="CZ126">
        <f>AE126</f>
        <v>60.6</v>
      </c>
      <c r="DA126">
        <f>AI126</f>
        <v>1.27</v>
      </c>
      <c r="DB126">
        <f t="shared" si="48"/>
        <v>84.84</v>
      </c>
      <c r="DC126">
        <f t="shared" si="49"/>
        <v>0</v>
      </c>
      <c r="DD126" t="s">
        <v>3</v>
      </c>
      <c r="DE126" t="s">
        <v>3</v>
      </c>
      <c r="DF126">
        <f>ROUND(ROUND(AE126*AI126,2)*CX126,2)</f>
        <v>59.85</v>
      </c>
      <c r="DG126">
        <f>ROUND(ROUND(AF126,2)*CX126,2)</f>
        <v>0</v>
      </c>
      <c r="DH126">
        <f t="shared" si="27"/>
        <v>0</v>
      </c>
      <c r="DI126">
        <f t="shared" si="42"/>
        <v>0</v>
      </c>
      <c r="DJ126">
        <f>DF126</f>
        <v>59.85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ROW(Source!A81)</f>
        <v>81</v>
      </c>
      <c r="B127">
        <v>65170852</v>
      </c>
      <c r="C127">
        <v>65171258</v>
      </c>
      <c r="D127">
        <v>37193702</v>
      </c>
      <c r="E127">
        <v>108</v>
      </c>
      <c r="F127">
        <v>1</v>
      </c>
      <c r="G127">
        <v>1</v>
      </c>
      <c r="H127">
        <v>1</v>
      </c>
      <c r="I127" t="s">
        <v>644</v>
      </c>
      <c r="J127" t="s">
        <v>3</v>
      </c>
      <c r="K127" t="s">
        <v>645</v>
      </c>
      <c r="L127">
        <v>1191</v>
      </c>
      <c r="N127">
        <v>1013</v>
      </c>
      <c r="O127" t="s">
        <v>509</v>
      </c>
      <c r="P127" t="s">
        <v>509</v>
      </c>
      <c r="Q127">
        <v>1</v>
      </c>
      <c r="W127">
        <v>0</v>
      </c>
      <c r="X127">
        <v>-1860513935</v>
      </c>
      <c r="Y127">
        <f t="shared" si="47"/>
        <v>83</v>
      </c>
      <c r="AA127">
        <v>0</v>
      </c>
      <c r="AB127">
        <v>0</v>
      </c>
      <c r="AC127">
        <v>0</v>
      </c>
      <c r="AD127">
        <v>372.67</v>
      </c>
      <c r="AE127">
        <v>0</v>
      </c>
      <c r="AF127">
        <v>0</v>
      </c>
      <c r="AG127">
        <v>0</v>
      </c>
      <c r="AH127">
        <v>372.67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0</v>
      </c>
      <c r="AP127">
        <v>1</v>
      </c>
      <c r="AQ127">
        <v>1</v>
      </c>
      <c r="AR127">
        <v>0</v>
      </c>
      <c r="AS127" t="s">
        <v>3</v>
      </c>
      <c r="AT127">
        <v>83</v>
      </c>
      <c r="AU127" t="s">
        <v>3</v>
      </c>
      <c r="AV127">
        <v>1</v>
      </c>
      <c r="AW127">
        <v>2</v>
      </c>
      <c r="AX127">
        <v>65171262</v>
      </c>
      <c r="AY127">
        <v>1</v>
      </c>
      <c r="AZ127">
        <v>0</v>
      </c>
      <c r="BA127">
        <v>122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30931.61</v>
      </c>
      <c r="BN127">
        <v>83</v>
      </c>
      <c r="BO127">
        <v>0</v>
      </c>
      <c r="BP127">
        <v>1</v>
      </c>
      <c r="BQ127">
        <v>0</v>
      </c>
      <c r="BR127">
        <v>0</v>
      </c>
      <c r="BS127">
        <v>0</v>
      </c>
      <c r="BT127">
        <v>30931.61</v>
      </c>
      <c r="BU127">
        <v>83</v>
      </c>
      <c r="BV127">
        <v>0</v>
      </c>
      <c r="BW127">
        <v>1</v>
      </c>
      <c r="CU127">
        <f>ROUND(AT127*Source!I81*AH127*AL127,2)</f>
        <v>1237.26</v>
      </c>
      <c r="CV127">
        <f>ROUND(Y127*Source!I81,7)</f>
        <v>3.32</v>
      </c>
      <c r="CW127">
        <v>0</v>
      </c>
      <c r="CX127">
        <f>ROUND(Y127*Source!I81,7)</f>
        <v>3.32</v>
      </c>
      <c r="CY127">
        <f>AD127</f>
        <v>372.67</v>
      </c>
      <c r="CZ127">
        <f>AH127</f>
        <v>372.67</v>
      </c>
      <c r="DA127">
        <f>AL127</f>
        <v>1</v>
      </c>
      <c r="DB127">
        <f t="shared" si="48"/>
        <v>30931.61</v>
      </c>
      <c r="DC127">
        <f t="shared" si="49"/>
        <v>0</v>
      </c>
      <c r="DD127" t="s">
        <v>3</v>
      </c>
      <c r="DE127" t="s">
        <v>3</v>
      </c>
      <c r="DF127">
        <f t="shared" ref="DF127:DF139" si="52">ROUND(ROUND(AE127,2)*CX127,2)</f>
        <v>0</v>
      </c>
      <c r="DG127">
        <f>ROUND(ROUND(AF127,2)*CX127,2)</f>
        <v>0</v>
      </c>
      <c r="DH127">
        <f t="shared" si="27"/>
        <v>0</v>
      </c>
      <c r="DI127">
        <f t="shared" si="42"/>
        <v>1237.26</v>
      </c>
      <c r="DJ127">
        <f>DI127</f>
        <v>1237.26</v>
      </c>
      <c r="DK127">
        <v>1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ROW(Source!A81)</f>
        <v>81</v>
      </c>
      <c r="B128">
        <v>65170852</v>
      </c>
      <c r="C128">
        <v>65171258</v>
      </c>
      <c r="D128">
        <v>37064876</v>
      </c>
      <c r="E128">
        <v>108</v>
      </c>
      <c r="F128">
        <v>1</v>
      </c>
      <c r="G128">
        <v>1</v>
      </c>
      <c r="H128">
        <v>1</v>
      </c>
      <c r="I128" t="s">
        <v>510</v>
      </c>
      <c r="J128" t="s">
        <v>3</v>
      </c>
      <c r="K128" t="s">
        <v>511</v>
      </c>
      <c r="L128">
        <v>1191</v>
      </c>
      <c r="N128">
        <v>1013</v>
      </c>
      <c r="O128" t="s">
        <v>509</v>
      </c>
      <c r="P128" t="s">
        <v>509</v>
      </c>
      <c r="Q128">
        <v>1</v>
      </c>
      <c r="W128">
        <v>0</v>
      </c>
      <c r="X128">
        <v>-1417349443</v>
      </c>
      <c r="Y128">
        <f t="shared" si="47"/>
        <v>42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0</v>
      </c>
      <c r="AP128">
        <v>1</v>
      </c>
      <c r="AQ128">
        <v>1</v>
      </c>
      <c r="AR128">
        <v>0</v>
      </c>
      <c r="AS128" t="s">
        <v>3</v>
      </c>
      <c r="AT128">
        <v>42</v>
      </c>
      <c r="AU128" t="s">
        <v>3</v>
      </c>
      <c r="AV128">
        <v>2</v>
      </c>
      <c r="AW128">
        <v>2</v>
      </c>
      <c r="AX128">
        <v>65171263</v>
      </c>
      <c r="AY128">
        <v>1</v>
      </c>
      <c r="AZ128">
        <v>0</v>
      </c>
      <c r="BA128">
        <v>123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ROUND(Y128*Source!I81,7)</f>
        <v>1.68</v>
      </c>
      <c r="CY128">
        <f>AD128</f>
        <v>0</v>
      </c>
      <c r="CZ128">
        <f>AH128</f>
        <v>0</v>
      </c>
      <c r="DA128">
        <f>AL128</f>
        <v>1</v>
      </c>
      <c r="DB128">
        <f t="shared" si="48"/>
        <v>0</v>
      </c>
      <c r="DC128">
        <f t="shared" si="49"/>
        <v>0</v>
      </c>
      <c r="DD128" t="s">
        <v>3</v>
      </c>
      <c r="DE128" t="s">
        <v>3</v>
      </c>
      <c r="DF128">
        <f t="shared" si="52"/>
        <v>0</v>
      </c>
      <c r="DG128">
        <f>ROUND(ROUND(AF128,2)*CX128,2)</f>
        <v>0</v>
      </c>
      <c r="DH128">
        <f t="shared" si="27"/>
        <v>0</v>
      </c>
      <c r="DI128">
        <f t="shared" si="42"/>
        <v>0</v>
      </c>
      <c r="DJ128">
        <f>DI128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ROW(Source!A81)</f>
        <v>81</v>
      </c>
      <c r="B129">
        <v>65170852</v>
      </c>
      <c r="C129">
        <v>65171258</v>
      </c>
      <c r="D129">
        <v>56572844</v>
      </c>
      <c r="E129">
        <v>1</v>
      </c>
      <c r="F129">
        <v>1</v>
      </c>
      <c r="G129">
        <v>1</v>
      </c>
      <c r="H129">
        <v>2</v>
      </c>
      <c r="I129" t="s">
        <v>646</v>
      </c>
      <c r="J129" t="s">
        <v>647</v>
      </c>
      <c r="K129" t="s">
        <v>648</v>
      </c>
      <c r="L129">
        <v>1368</v>
      </c>
      <c r="N129">
        <v>1011</v>
      </c>
      <c r="O129" t="s">
        <v>515</v>
      </c>
      <c r="P129" t="s">
        <v>515</v>
      </c>
      <c r="Q129">
        <v>1</v>
      </c>
      <c r="W129">
        <v>0</v>
      </c>
      <c r="X129">
        <v>-945574454</v>
      </c>
      <c r="Y129">
        <f t="shared" si="47"/>
        <v>42</v>
      </c>
      <c r="AA129">
        <v>0</v>
      </c>
      <c r="AB129">
        <v>806.41</v>
      </c>
      <c r="AC129">
        <v>490.55</v>
      </c>
      <c r="AD129">
        <v>0</v>
      </c>
      <c r="AE129">
        <v>0</v>
      </c>
      <c r="AF129">
        <v>610.91999999999996</v>
      </c>
      <c r="AG129">
        <v>490.55</v>
      </c>
      <c r="AH129">
        <v>0</v>
      </c>
      <c r="AI129">
        <v>1</v>
      </c>
      <c r="AJ129">
        <v>1.32</v>
      </c>
      <c r="AK129">
        <v>1</v>
      </c>
      <c r="AL129">
        <v>1</v>
      </c>
      <c r="AM129">
        <v>2</v>
      </c>
      <c r="AN129">
        <v>0</v>
      </c>
      <c r="AO129">
        <v>0</v>
      </c>
      <c r="AP129">
        <v>1</v>
      </c>
      <c r="AQ129">
        <v>1</v>
      </c>
      <c r="AR129">
        <v>0</v>
      </c>
      <c r="AS129" t="s">
        <v>3</v>
      </c>
      <c r="AT129">
        <v>42</v>
      </c>
      <c r="AU129" t="s">
        <v>3</v>
      </c>
      <c r="AV129">
        <v>1</v>
      </c>
      <c r="AW129">
        <v>2</v>
      </c>
      <c r="AX129">
        <v>65171264</v>
      </c>
      <c r="AY129">
        <v>1</v>
      </c>
      <c r="AZ129">
        <v>0</v>
      </c>
      <c r="BA129">
        <v>124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25658.639999999999</v>
      </c>
      <c r="BL129">
        <v>20603.100000000002</v>
      </c>
      <c r="BM129">
        <v>0</v>
      </c>
      <c r="BN129">
        <v>0</v>
      </c>
      <c r="BO129">
        <v>42</v>
      </c>
      <c r="BP129">
        <v>1</v>
      </c>
      <c r="BQ129">
        <v>0</v>
      </c>
      <c r="BR129">
        <v>25658.639999999999</v>
      </c>
      <c r="BS129">
        <v>20603.100000000002</v>
      </c>
      <c r="BT129">
        <v>0</v>
      </c>
      <c r="BU129">
        <v>0</v>
      </c>
      <c r="BV129">
        <v>42</v>
      </c>
      <c r="BW129">
        <v>1</v>
      </c>
      <c r="CV129">
        <v>0</v>
      </c>
      <c r="CW129">
        <f>ROUND(Y129*Source!I81*DO129,7)</f>
        <v>1.68</v>
      </c>
      <c r="CX129">
        <f>ROUND(Y129*Source!I81,7)</f>
        <v>1.68</v>
      </c>
      <c r="CY129">
        <f>AB129</f>
        <v>806.41</v>
      </c>
      <c r="CZ129">
        <f>AF129</f>
        <v>610.91999999999996</v>
      </c>
      <c r="DA129">
        <f>AJ129</f>
        <v>1.32</v>
      </c>
      <c r="DB129">
        <f t="shared" si="48"/>
        <v>25658.639999999999</v>
      </c>
      <c r="DC129">
        <f t="shared" si="49"/>
        <v>20603.099999999999</v>
      </c>
      <c r="DD129" t="s">
        <v>3</v>
      </c>
      <c r="DE129" t="s">
        <v>3</v>
      </c>
      <c r="DF129">
        <f t="shared" si="52"/>
        <v>0</v>
      </c>
      <c r="DG129">
        <f>ROUND(ROUND(AF129*AJ129,2)*CX129,2)</f>
        <v>1354.77</v>
      </c>
      <c r="DH129">
        <f t="shared" ref="DH129:DH192" si="53">ROUND(ROUND(AG129,2)*CX129,2)</f>
        <v>824.12</v>
      </c>
      <c r="DI129">
        <f t="shared" si="42"/>
        <v>0</v>
      </c>
      <c r="DJ129">
        <f>DG129+DH129</f>
        <v>2178.89</v>
      </c>
      <c r="DK129">
        <v>0</v>
      </c>
      <c r="DL129" t="s">
        <v>523</v>
      </c>
      <c r="DM129">
        <v>4</v>
      </c>
      <c r="DN129" t="s">
        <v>509</v>
      </c>
      <c r="DO129">
        <v>1</v>
      </c>
    </row>
    <row r="130" spans="1:119" x14ac:dyDescent="0.2">
      <c r="A130">
        <f>ROW(Source!A83)</f>
        <v>83</v>
      </c>
      <c r="B130">
        <v>65170852</v>
      </c>
      <c r="C130">
        <v>65171266</v>
      </c>
      <c r="D130">
        <v>37197992</v>
      </c>
      <c r="E130">
        <v>108</v>
      </c>
      <c r="F130">
        <v>1</v>
      </c>
      <c r="G130">
        <v>1</v>
      </c>
      <c r="H130">
        <v>1</v>
      </c>
      <c r="I130" t="s">
        <v>649</v>
      </c>
      <c r="J130" t="s">
        <v>3</v>
      </c>
      <c r="K130" t="s">
        <v>650</v>
      </c>
      <c r="L130">
        <v>1191</v>
      </c>
      <c r="N130">
        <v>1013</v>
      </c>
      <c r="O130" t="s">
        <v>509</v>
      </c>
      <c r="P130" t="s">
        <v>509</v>
      </c>
      <c r="Q130">
        <v>1</v>
      </c>
      <c r="W130">
        <v>0</v>
      </c>
      <c r="X130">
        <v>-1796977266</v>
      </c>
      <c r="Y130">
        <f t="shared" si="47"/>
        <v>188</v>
      </c>
      <c r="AA130">
        <v>0</v>
      </c>
      <c r="AB130">
        <v>0</v>
      </c>
      <c r="AC130">
        <v>0</v>
      </c>
      <c r="AD130">
        <v>369.37</v>
      </c>
      <c r="AE130">
        <v>0</v>
      </c>
      <c r="AF130">
        <v>0</v>
      </c>
      <c r="AG130">
        <v>0</v>
      </c>
      <c r="AH130">
        <v>369.37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0</v>
      </c>
      <c r="AP130">
        <v>1</v>
      </c>
      <c r="AQ130">
        <v>1</v>
      </c>
      <c r="AR130">
        <v>0</v>
      </c>
      <c r="AS130" t="s">
        <v>3</v>
      </c>
      <c r="AT130">
        <v>188</v>
      </c>
      <c r="AU130" t="s">
        <v>3</v>
      </c>
      <c r="AV130">
        <v>1</v>
      </c>
      <c r="AW130">
        <v>2</v>
      </c>
      <c r="AX130">
        <v>65171269</v>
      </c>
      <c r="AY130">
        <v>1</v>
      </c>
      <c r="AZ130">
        <v>0</v>
      </c>
      <c r="BA130">
        <v>125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69441.56</v>
      </c>
      <c r="BN130">
        <v>188</v>
      </c>
      <c r="BO130">
        <v>0</v>
      </c>
      <c r="BP130">
        <v>1</v>
      </c>
      <c r="BQ130">
        <v>0</v>
      </c>
      <c r="BR130">
        <v>0</v>
      </c>
      <c r="BS130">
        <v>0</v>
      </c>
      <c r="BT130">
        <v>69441.56</v>
      </c>
      <c r="BU130">
        <v>188</v>
      </c>
      <c r="BV130">
        <v>0</v>
      </c>
      <c r="BW130">
        <v>1</v>
      </c>
      <c r="CU130">
        <f>ROUND(AT130*Source!I83*AH130*AL130,2)</f>
        <v>2638.78</v>
      </c>
      <c r="CV130">
        <f>ROUND(Y130*Source!I83,7)</f>
        <v>7.1440000000000001</v>
      </c>
      <c r="CW130">
        <v>0</v>
      </c>
      <c r="CX130">
        <f>ROUND(Y130*Source!I83,7)</f>
        <v>7.1440000000000001</v>
      </c>
      <c r="CY130">
        <f>AD130</f>
        <v>369.37</v>
      </c>
      <c r="CZ130">
        <f>AH130</f>
        <v>369.37</v>
      </c>
      <c r="DA130">
        <f>AL130</f>
        <v>1</v>
      </c>
      <c r="DB130">
        <f t="shared" si="48"/>
        <v>69441.56</v>
      </c>
      <c r="DC130">
        <f t="shared" si="49"/>
        <v>0</v>
      </c>
      <c r="DD130" t="s">
        <v>3</v>
      </c>
      <c r="DE130" t="s">
        <v>3</v>
      </c>
      <c r="DF130">
        <f t="shared" si="52"/>
        <v>0</v>
      </c>
      <c r="DG130">
        <f>ROUND(ROUND(AF130,2)*CX130,2)</f>
        <v>0</v>
      </c>
      <c r="DH130">
        <f t="shared" si="53"/>
        <v>0</v>
      </c>
      <c r="DI130">
        <f t="shared" si="42"/>
        <v>2638.78</v>
      </c>
      <c r="DJ130">
        <f>DI130</f>
        <v>2638.78</v>
      </c>
      <c r="DK130">
        <v>1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ROW(Source!A83)</f>
        <v>83</v>
      </c>
      <c r="B131">
        <v>65170852</v>
      </c>
      <c r="C131">
        <v>65171266</v>
      </c>
      <c r="D131">
        <v>56223456</v>
      </c>
      <c r="E131">
        <v>108</v>
      </c>
      <c r="F131">
        <v>1</v>
      </c>
      <c r="G131">
        <v>1</v>
      </c>
      <c r="H131">
        <v>3</v>
      </c>
      <c r="I131" t="s">
        <v>651</v>
      </c>
      <c r="J131" t="s">
        <v>3</v>
      </c>
      <c r="K131" t="s">
        <v>652</v>
      </c>
      <c r="L131">
        <v>1348</v>
      </c>
      <c r="N131">
        <v>1009</v>
      </c>
      <c r="O131" t="s">
        <v>94</v>
      </c>
      <c r="P131" t="s">
        <v>94</v>
      </c>
      <c r="Q131">
        <v>1000</v>
      </c>
      <c r="W131">
        <v>0</v>
      </c>
      <c r="X131">
        <v>2102561428</v>
      </c>
      <c r="Y131">
        <f t="shared" si="47"/>
        <v>100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0</v>
      </c>
      <c r="AP131">
        <v>0</v>
      </c>
      <c r="AQ131">
        <v>1</v>
      </c>
      <c r="AR131">
        <v>0</v>
      </c>
      <c r="AS131" t="s">
        <v>3</v>
      </c>
      <c r="AT131">
        <v>100</v>
      </c>
      <c r="AU131" t="s">
        <v>3</v>
      </c>
      <c r="AV131">
        <v>0</v>
      </c>
      <c r="AW131">
        <v>2</v>
      </c>
      <c r="AX131">
        <v>65171270</v>
      </c>
      <c r="AY131">
        <v>1</v>
      </c>
      <c r="AZ131">
        <v>0</v>
      </c>
      <c r="BA131">
        <v>126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ROUND(Y131*Source!I83,7)</f>
        <v>3.8</v>
      </c>
      <c r="CY131">
        <f>AA131</f>
        <v>0</v>
      </c>
      <c r="CZ131">
        <f>AE131</f>
        <v>0</v>
      </c>
      <c r="DA131">
        <f>AI131</f>
        <v>1</v>
      </c>
      <c r="DB131">
        <f t="shared" si="48"/>
        <v>0</v>
      </c>
      <c r="DC131">
        <f t="shared" si="49"/>
        <v>0</v>
      </c>
      <c r="DD131" t="s">
        <v>3</v>
      </c>
      <c r="DE131" t="s">
        <v>3</v>
      </c>
      <c r="DF131">
        <f t="shared" si="52"/>
        <v>0</v>
      </c>
      <c r="DG131">
        <f>ROUND(ROUND(AF131,2)*CX131,2)</f>
        <v>0</v>
      </c>
      <c r="DH131">
        <f t="shared" si="53"/>
        <v>0</v>
      </c>
      <c r="DI131">
        <f t="shared" si="42"/>
        <v>0</v>
      </c>
      <c r="DJ131">
        <f>DF131</f>
        <v>0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ROW(Source!A84)</f>
        <v>84</v>
      </c>
      <c r="B132">
        <v>65170852</v>
      </c>
      <c r="C132">
        <v>65171271</v>
      </c>
      <c r="D132">
        <v>37193702</v>
      </c>
      <c r="E132">
        <v>108</v>
      </c>
      <c r="F132">
        <v>1</v>
      </c>
      <c r="G132">
        <v>1</v>
      </c>
      <c r="H132">
        <v>1</v>
      </c>
      <c r="I132" t="s">
        <v>644</v>
      </c>
      <c r="J132" t="s">
        <v>3</v>
      </c>
      <c r="K132" t="s">
        <v>645</v>
      </c>
      <c r="L132">
        <v>1191</v>
      </c>
      <c r="N132">
        <v>1013</v>
      </c>
      <c r="O132" t="s">
        <v>509</v>
      </c>
      <c r="P132" t="s">
        <v>509</v>
      </c>
      <c r="Q132">
        <v>1</v>
      </c>
      <c r="W132">
        <v>0</v>
      </c>
      <c r="X132">
        <v>-1860513935</v>
      </c>
      <c r="Y132">
        <f t="shared" si="47"/>
        <v>83</v>
      </c>
      <c r="AA132">
        <v>0</v>
      </c>
      <c r="AB132">
        <v>0</v>
      </c>
      <c r="AC132">
        <v>0</v>
      </c>
      <c r="AD132">
        <v>372.67</v>
      </c>
      <c r="AE132">
        <v>0</v>
      </c>
      <c r="AF132">
        <v>0</v>
      </c>
      <c r="AG132">
        <v>0</v>
      </c>
      <c r="AH132">
        <v>372.67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83</v>
      </c>
      <c r="AU132" t="s">
        <v>3</v>
      </c>
      <c r="AV132">
        <v>1</v>
      </c>
      <c r="AW132">
        <v>2</v>
      </c>
      <c r="AX132">
        <v>65171275</v>
      </c>
      <c r="AY132">
        <v>1</v>
      </c>
      <c r="AZ132">
        <v>0</v>
      </c>
      <c r="BA132">
        <v>127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30931.61</v>
      </c>
      <c r="BN132">
        <v>83</v>
      </c>
      <c r="BO132">
        <v>0</v>
      </c>
      <c r="BP132">
        <v>1</v>
      </c>
      <c r="BQ132">
        <v>0</v>
      </c>
      <c r="BR132">
        <v>0</v>
      </c>
      <c r="BS132">
        <v>0</v>
      </c>
      <c r="BT132">
        <v>30931.61</v>
      </c>
      <c r="BU132">
        <v>83</v>
      </c>
      <c r="BV132">
        <v>0</v>
      </c>
      <c r="BW132">
        <v>1</v>
      </c>
      <c r="CU132">
        <f>ROUND(AT132*Source!I84*AH132*AL132,2)</f>
        <v>1175.4000000000001</v>
      </c>
      <c r="CV132">
        <f>ROUND(Y132*Source!I84,7)</f>
        <v>3.1539999999999999</v>
      </c>
      <c r="CW132">
        <v>0</v>
      </c>
      <c r="CX132">
        <f>ROUND(Y132*Source!I84,7)</f>
        <v>3.1539999999999999</v>
      </c>
      <c r="CY132">
        <f>AD132</f>
        <v>372.67</v>
      </c>
      <c r="CZ132">
        <f>AH132</f>
        <v>372.67</v>
      </c>
      <c r="DA132">
        <f>AL132</f>
        <v>1</v>
      </c>
      <c r="DB132">
        <f t="shared" si="48"/>
        <v>30931.61</v>
      </c>
      <c r="DC132">
        <f t="shared" si="49"/>
        <v>0</v>
      </c>
      <c r="DD132" t="s">
        <v>3</v>
      </c>
      <c r="DE132" t="s">
        <v>3</v>
      </c>
      <c r="DF132">
        <f t="shared" si="52"/>
        <v>0</v>
      </c>
      <c r="DG132">
        <f>ROUND(ROUND(AF132,2)*CX132,2)</f>
        <v>0</v>
      </c>
      <c r="DH132">
        <f t="shared" si="53"/>
        <v>0</v>
      </c>
      <c r="DI132">
        <f t="shared" si="42"/>
        <v>1175.4000000000001</v>
      </c>
      <c r="DJ132">
        <f>DI132</f>
        <v>1175.4000000000001</v>
      </c>
      <c r="DK132">
        <v>1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ROW(Source!A84)</f>
        <v>84</v>
      </c>
      <c r="B133">
        <v>65170852</v>
      </c>
      <c r="C133">
        <v>65171271</v>
      </c>
      <c r="D133">
        <v>37064876</v>
      </c>
      <c r="E133">
        <v>108</v>
      </c>
      <c r="F133">
        <v>1</v>
      </c>
      <c r="G133">
        <v>1</v>
      </c>
      <c r="H133">
        <v>1</v>
      </c>
      <c r="I133" t="s">
        <v>510</v>
      </c>
      <c r="J133" t="s">
        <v>3</v>
      </c>
      <c r="K133" t="s">
        <v>511</v>
      </c>
      <c r="L133">
        <v>1191</v>
      </c>
      <c r="N133">
        <v>1013</v>
      </c>
      <c r="O133" t="s">
        <v>509</v>
      </c>
      <c r="P133" t="s">
        <v>509</v>
      </c>
      <c r="Q133">
        <v>1</v>
      </c>
      <c r="W133">
        <v>0</v>
      </c>
      <c r="X133">
        <v>-1417349443</v>
      </c>
      <c r="Y133">
        <f t="shared" si="47"/>
        <v>42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0</v>
      </c>
      <c r="AP133">
        <v>1</v>
      </c>
      <c r="AQ133">
        <v>1</v>
      </c>
      <c r="AR133">
        <v>0</v>
      </c>
      <c r="AS133" t="s">
        <v>3</v>
      </c>
      <c r="AT133">
        <v>42</v>
      </c>
      <c r="AU133" t="s">
        <v>3</v>
      </c>
      <c r="AV133">
        <v>2</v>
      </c>
      <c r="AW133">
        <v>2</v>
      </c>
      <c r="AX133">
        <v>65171276</v>
      </c>
      <c r="AY133">
        <v>1</v>
      </c>
      <c r="AZ133">
        <v>0</v>
      </c>
      <c r="BA133">
        <v>128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v>0</v>
      </c>
      <c r="CX133">
        <f>ROUND(Y133*Source!I84,7)</f>
        <v>1.5960000000000001</v>
      </c>
      <c r="CY133">
        <f>AD133</f>
        <v>0</v>
      </c>
      <c r="CZ133">
        <f>AH133</f>
        <v>0</v>
      </c>
      <c r="DA133">
        <f>AL133</f>
        <v>1</v>
      </c>
      <c r="DB133">
        <f t="shared" si="48"/>
        <v>0</v>
      </c>
      <c r="DC133">
        <f t="shared" si="49"/>
        <v>0</v>
      </c>
      <c r="DD133" t="s">
        <v>3</v>
      </c>
      <c r="DE133" t="s">
        <v>3</v>
      </c>
      <c r="DF133">
        <f t="shared" si="52"/>
        <v>0</v>
      </c>
      <c r="DG133">
        <f>ROUND(ROUND(AF133,2)*CX133,2)</f>
        <v>0</v>
      </c>
      <c r="DH133">
        <f t="shared" si="53"/>
        <v>0</v>
      </c>
      <c r="DI133">
        <f t="shared" si="42"/>
        <v>0</v>
      </c>
      <c r="DJ133">
        <f>DI133</f>
        <v>0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ROW(Source!A84)</f>
        <v>84</v>
      </c>
      <c r="B134">
        <v>65170852</v>
      </c>
      <c r="C134">
        <v>65171271</v>
      </c>
      <c r="D134">
        <v>56572844</v>
      </c>
      <c r="E134">
        <v>1</v>
      </c>
      <c r="F134">
        <v>1</v>
      </c>
      <c r="G134">
        <v>1</v>
      </c>
      <c r="H134">
        <v>2</v>
      </c>
      <c r="I134" t="s">
        <v>646</v>
      </c>
      <c r="J134" t="s">
        <v>647</v>
      </c>
      <c r="K134" t="s">
        <v>648</v>
      </c>
      <c r="L134">
        <v>1368</v>
      </c>
      <c r="N134">
        <v>1011</v>
      </c>
      <c r="O134" t="s">
        <v>515</v>
      </c>
      <c r="P134" t="s">
        <v>515</v>
      </c>
      <c r="Q134">
        <v>1</v>
      </c>
      <c r="W134">
        <v>0</v>
      </c>
      <c r="X134">
        <v>-945574454</v>
      </c>
      <c r="Y134">
        <f t="shared" si="47"/>
        <v>42</v>
      </c>
      <c r="AA134">
        <v>0</v>
      </c>
      <c r="AB134">
        <v>806.41</v>
      </c>
      <c r="AC134">
        <v>490.55</v>
      </c>
      <c r="AD134">
        <v>0</v>
      </c>
      <c r="AE134">
        <v>0</v>
      </c>
      <c r="AF134">
        <v>610.91999999999996</v>
      </c>
      <c r="AG134">
        <v>490.55</v>
      </c>
      <c r="AH134">
        <v>0</v>
      </c>
      <c r="AI134">
        <v>1</v>
      </c>
      <c r="AJ134">
        <v>1.32</v>
      </c>
      <c r="AK134">
        <v>1</v>
      </c>
      <c r="AL134">
        <v>1</v>
      </c>
      <c r="AM134">
        <v>2</v>
      </c>
      <c r="AN134">
        <v>0</v>
      </c>
      <c r="AO134">
        <v>0</v>
      </c>
      <c r="AP134">
        <v>1</v>
      </c>
      <c r="AQ134">
        <v>1</v>
      </c>
      <c r="AR134">
        <v>0</v>
      </c>
      <c r="AS134" t="s">
        <v>3</v>
      </c>
      <c r="AT134">
        <v>42</v>
      </c>
      <c r="AU134" t="s">
        <v>3</v>
      </c>
      <c r="AV134">
        <v>1</v>
      </c>
      <c r="AW134">
        <v>2</v>
      </c>
      <c r="AX134">
        <v>65171277</v>
      </c>
      <c r="AY134">
        <v>1</v>
      </c>
      <c r="AZ134">
        <v>0</v>
      </c>
      <c r="BA134">
        <v>129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25658.639999999999</v>
      </c>
      <c r="BL134">
        <v>20603.100000000002</v>
      </c>
      <c r="BM134">
        <v>0</v>
      </c>
      <c r="BN134">
        <v>0</v>
      </c>
      <c r="BO134">
        <v>42</v>
      </c>
      <c r="BP134">
        <v>1</v>
      </c>
      <c r="BQ134">
        <v>0</v>
      </c>
      <c r="BR134">
        <v>25658.639999999999</v>
      </c>
      <c r="BS134">
        <v>20603.100000000002</v>
      </c>
      <c r="BT134">
        <v>0</v>
      </c>
      <c r="BU134">
        <v>0</v>
      </c>
      <c r="BV134">
        <v>42</v>
      </c>
      <c r="BW134">
        <v>1</v>
      </c>
      <c r="CV134">
        <v>0</v>
      </c>
      <c r="CW134">
        <f>ROUND(Y134*Source!I84*DO134,7)</f>
        <v>1.5960000000000001</v>
      </c>
      <c r="CX134">
        <f>ROUND(Y134*Source!I84,7)</f>
        <v>1.5960000000000001</v>
      </c>
      <c r="CY134">
        <f>AB134</f>
        <v>806.41</v>
      </c>
      <c r="CZ134">
        <f>AF134</f>
        <v>610.91999999999996</v>
      </c>
      <c r="DA134">
        <f>AJ134</f>
        <v>1.32</v>
      </c>
      <c r="DB134">
        <f t="shared" si="48"/>
        <v>25658.639999999999</v>
      </c>
      <c r="DC134">
        <f t="shared" si="49"/>
        <v>20603.099999999999</v>
      </c>
      <c r="DD134" t="s">
        <v>3</v>
      </c>
      <c r="DE134" t="s">
        <v>3</v>
      </c>
      <c r="DF134">
        <f t="shared" si="52"/>
        <v>0</v>
      </c>
      <c r="DG134">
        <f>ROUND(ROUND(AF134*AJ134,2)*CX134,2)</f>
        <v>1287.03</v>
      </c>
      <c r="DH134">
        <f t="shared" si="53"/>
        <v>782.92</v>
      </c>
      <c r="DI134">
        <f t="shared" si="42"/>
        <v>0</v>
      </c>
      <c r="DJ134">
        <f>DG134+DH134</f>
        <v>2069.9499999999998</v>
      </c>
      <c r="DK134">
        <v>0</v>
      </c>
      <c r="DL134" t="s">
        <v>523</v>
      </c>
      <c r="DM134">
        <v>4</v>
      </c>
      <c r="DN134" t="s">
        <v>509</v>
      </c>
      <c r="DO134">
        <v>1</v>
      </c>
    </row>
    <row r="135" spans="1:119" x14ac:dyDescent="0.2">
      <c r="A135">
        <f>ROW(Source!A121)</f>
        <v>121</v>
      </c>
      <c r="B135">
        <v>65170852</v>
      </c>
      <c r="C135">
        <v>65171336</v>
      </c>
      <c r="D135">
        <v>37071037</v>
      </c>
      <c r="E135">
        <v>108</v>
      </c>
      <c r="F135">
        <v>1</v>
      </c>
      <c r="G135">
        <v>1</v>
      </c>
      <c r="H135">
        <v>1</v>
      </c>
      <c r="I135" t="s">
        <v>653</v>
      </c>
      <c r="J135" t="s">
        <v>3</v>
      </c>
      <c r="K135" t="s">
        <v>654</v>
      </c>
      <c r="L135">
        <v>1191</v>
      </c>
      <c r="N135">
        <v>1013</v>
      </c>
      <c r="O135" t="s">
        <v>509</v>
      </c>
      <c r="P135" t="s">
        <v>509</v>
      </c>
      <c r="Q135">
        <v>1</v>
      </c>
      <c r="W135">
        <v>0</v>
      </c>
      <c r="X135">
        <v>-1111239348</v>
      </c>
      <c r="Y135">
        <f>(AT135*ROUND(0.3,7))</f>
        <v>8.34</v>
      </c>
      <c r="AA135">
        <v>0</v>
      </c>
      <c r="AB135">
        <v>0</v>
      </c>
      <c r="AC135">
        <v>0</v>
      </c>
      <c r="AD135">
        <v>490.55</v>
      </c>
      <c r="AE135">
        <v>0</v>
      </c>
      <c r="AF135">
        <v>0</v>
      </c>
      <c r="AG135">
        <v>0</v>
      </c>
      <c r="AH135">
        <v>490.55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1</v>
      </c>
      <c r="AQ135">
        <v>1</v>
      </c>
      <c r="AR135">
        <v>0</v>
      </c>
      <c r="AS135" t="s">
        <v>3</v>
      </c>
      <c r="AT135">
        <v>27.8</v>
      </c>
      <c r="AU135" t="s">
        <v>223</v>
      </c>
      <c r="AV135">
        <v>1</v>
      </c>
      <c r="AW135">
        <v>2</v>
      </c>
      <c r="AX135">
        <v>65171347</v>
      </c>
      <c r="AY135">
        <v>1</v>
      </c>
      <c r="AZ135">
        <v>0</v>
      </c>
      <c r="BA135">
        <v>130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13637.29</v>
      </c>
      <c r="BN135">
        <v>27.8</v>
      </c>
      <c r="BO135">
        <v>0</v>
      </c>
      <c r="BP135">
        <v>1</v>
      </c>
      <c r="BQ135">
        <v>0</v>
      </c>
      <c r="BR135">
        <v>0</v>
      </c>
      <c r="BS135">
        <v>0</v>
      </c>
      <c r="BT135">
        <v>4091.1869999999999</v>
      </c>
      <c r="BU135">
        <v>8.34</v>
      </c>
      <c r="BV135">
        <v>0</v>
      </c>
      <c r="BW135">
        <v>1</v>
      </c>
      <c r="CU135">
        <f>ROUND(AT135*Source!I121*AH135*AL135,2)</f>
        <v>13637.29</v>
      </c>
      <c r="CV135">
        <f>ROUND(Y135*Source!I121,7)</f>
        <v>8.34</v>
      </c>
      <c r="CW135">
        <v>0</v>
      </c>
      <c r="CX135">
        <f>ROUND(Y135*Source!I121,7)</f>
        <v>8.34</v>
      </c>
      <c r="CY135">
        <f>AD135</f>
        <v>490.55</v>
      </c>
      <c r="CZ135">
        <f>AH135</f>
        <v>490.55</v>
      </c>
      <c r="DA135">
        <f>AL135</f>
        <v>1</v>
      </c>
      <c r="DB135">
        <f>ROUND((ROUND(AT135*CZ135,2)*ROUND(0.3,7)),6)</f>
        <v>4091.1869999999999</v>
      </c>
      <c r="DC135">
        <f>ROUND((ROUND(AT135*AG135,2)*ROUND(0.3,7)),6)</f>
        <v>0</v>
      </c>
      <c r="DD135" t="s">
        <v>3</v>
      </c>
      <c r="DE135" t="s">
        <v>3</v>
      </c>
      <c r="DF135">
        <f t="shared" si="52"/>
        <v>0</v>
      </c>
      <c r="DG135">
        <f>ROUND(ROUND(AF135,2)*CX135,2)</f>
        <v>0</v>
      </c>
      <c r="DH135">
        <f t="shared" si="53"/>
        <v>0</v>
      </c>
      <c r="DI135">
        <f t="shared" si="42"/>
        <v>4091.19</v>
      </c>
      <c r="DJ135">
        <f>DI135</f>
        <v>4091.19</v>
      </c>
      <c r="DK135">
        <v>1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ROW(Source!A121)</f>
        <v>121</v>
      </c>
      <c r="B136">
        <v>65170852</v>
      </c>
      <c r="C136">
        <v>65171336</v>
      </c>
      <c r="D136">
        <v>37064876</v>
      </c>
      <c r="E136">
        <v>108</v>
      </c>
      <c r="F136">
        <v>1</v>
      </c>
      <c r="G136">
        <v>1</v>
      </c>
      <c r="H136">
        <v>1</v>
      </c>
      <c r="I136" t="s">
        <v>510</v>
      </c>
      <c r="J136" t="s">
        <v>3</v>
      </c>
      <c r="K136" t="s">
        <v>511</v>
      </c>
      <c r="L136">
        <v>1191</v>
      </c>
      <c r="N136">
        <v>1013</v>
      </c>
      <c r="O136" t="s">
        <v>509</v>
      </c>
      <c r="P136" t="s">
        <v>509</v>
      </c>
      <c r="Q136">
        <v>1</v>
      </c>
      <c r="W136">
        <v>0</v>
      </c>
      <c r="X136">
        <v>-1417349443</v>
      </c>
      <c r="Y136">
        <f>(AT136*ROUND(0.3,7))</f>
        <v>2.2799999999999998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1</v>
      </c>
      <c r="AQ136">
        <v>1</v>
      </c>
      <c r="AR136">
        <v>0</v>
      </c>
      <c r="AS136" t="s">
        <v>3</v>
      </c>
      <c r="AT136">
        <v>7.6</v>
      </c>
      <c r="AU136" t="s">
        <v>223</v>
      </c>
      <c r="AV136">
        <v>2</v>
      </c>
      <c r="AW136">
        <v>2</v>
      </c>
      <c r="AX136">
        <v>65171348</v>
      </c>
      <c r="AY136">
        <v>1</v>
      </c>
      <c r="AZ136">
        <v>0</v>
      </c>
      <c r="BA136">
        <v>131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ROUND(Y136*Source!I121,7)</f>
        <v>2.2799999999999998</v>
      </c>
      <c r="CY136">
        <f>AD136</f>
        <v>0</v>
      </c>
      <c r="CZ136">
        <f>AH136</f>
        <v>0</v>
      </c>
      <c r="DA136">
        <f>AL136</f>
        <v>1</v>
      </c>
      <c r="DB136">
        <f>ROUND((ROUND(AT136*CZ136,2)*ROUND(0.3,7)),6)</f>
        <v>0</v>
      </c>
      <c r="DC136">
        <f>ROUND((ROUND(AT136*AG136,2)*ROUND(0.3,7)),6)</f>
        <v>0</v>
      </c>
      <c r="DD136" t="s">
        <v>3</v>
      </c>
      <c r="DE136" t="s">
        <v>3</v>
      </c>
      <c r="DF136">
        <f t="shared" si="52"/>
        <v>0</v>
      </c>
      <c r="DG136">
        <f>ROUND(ROUND(AF136,2)*CX136,2)</f>
        <v>0</v>
      </c>
      <c r="DH136">
        <f t="shared" si="53"/>
        <v>0</v>
      </c>
      <c r="DI136">
        <f t="shared" si="42"/>
        <v>0</v>
      </c>
      <c r="DJ136">
        <f>DI136</f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ROW(Source!A121)</f>
        <v>121</v>
      </c>
      <c r="B137">
        <v>65170852</v>
      </c>
      <c r="C137">
        <v>65171336</v>
      </c>
      <c r="D137">
        <v>56571417</v>
      </c>
      <c r="E137">
        <v>1</v>
      </c>
      <c r="F137">
        <v>1</v>
      </c>
      <c r="G137">
        <v>1</v>
      </c>
      <c r="H137">
        <v>2</v>
      </c>
      <c r="I137" t="s">
        <v>512</v>
      </c>
      <c r="J137" t="s">
        <v>513</v>
      </c>
      <c r="K137" t="s">
        <v>514</v>
      </c>
      <c r="L137">
        <v>1368</v>
      </c>
      <c r="N137">
        <v>1011</v>
      </c>
      <c r="O137" t="s">
        <v>515</v>
      </c>
      <c r="P137" t="s">
        <v>515</v>
      </c>
      <c r="Q137">
        <v>1</v>
      </c>
      <c r="W137">
        <v>0</v>
      </c>
      <c r="X137">
        <v>-848025172</v>
      </c>
      <c r="Y137">
        <f>(AT137*ROUND(0.3,7))</f>
        <v>1.9649999999999999</v>
      </c>
      <c r="AA137">
        <v>0</v>
      </c>
      <c r="AB137">
        <v>1551.19</v>
      </c>
      <c r="AC137">
        <v>658.94</v>
      </c>
      <c r="AD137">
        <v>0</v>
      </c>
      <c r="AE137">
        <v>0</v>
      </c>
      <c r="AF137">
        <v>1551.19</v>
      </c>
      <c r="AG137">
        <v>658.94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0</v>
      </c>
      <c r="AP137">
        <v>1</v>
      </c>
      <c r="AQ137">
        <v>1</v>
      </c>
      <c r="AR137">
        <v>0</v>
      </c>
      <c r="AS137" t="s">
        <v>3</v>
      </c>
      <c r="AT137">
        <v>6.55</v>
      </c>
      <c r="AU137" t="s">
        <v>223</v>
      </c>
      <c r="AV137">
        <v>1</v>
      </c>
      <c r="AW137">
        <v>2</v>
      </c>
      <c r="AX137">
        <v>65171349</v>
      </c>
      <c r="AY137">
        <v>1</v>
      </c>
      <c r="AZ137">
        <v>0</v>
      </c>
      <c r="BA137">
        <v>132</v>
      </c>
      <c r="BB137">
        <v>1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10160.2945</v>
      </c>
      <c r="BL137">
        <v>4316.0569999999998</v>
      </c>
      <c r="BM137">
        <v>0</v>
      </c>
      <c r="BN137">
        <v>0</v>
      </c>
      <c r="BO137">
        <v>6.55</v>
      </c>
      <c r="BP137">
        <v>1</v>
      </c>
      <c r="BQ137">
        <v>0</v>
      </c>
      <c r="BR137">
        <v>3048.08835</v>
      </c>
      <c r="BS137">
        <v>1294.8171</v>
      </c>
      <c r="BT137">
        <v>0</v>
      </c>
      <c r="BU137">
        <v>0</v>
      </c>
      <c r="BV137">
        <v>1.9649999999999999</v>
      </c>
      <c r="BW137">
        <v>1</v>
      </c>
      <c r="CV137">
        <v>0</v>
      </c>
      <c r="CW137">
        <f>ROUND(Y137*Source!I121*DO137,7)</f>
        <v>1.9650000000000001</v>
      </c>
      <c r="CX137">
        <f>ROUND(Y137*Source!I121,7)</f>
        <v>1.9650000000000001</v>
      </c>
      <c r="CY137">
        <f>AB137</f>
        <v>1551.19</v>
      </c>
      <c r="CZ137">
        <f>AF137</f>
        <v>1551.19</v>
      </c>
      <c r="DA137">
        <f>AJ137</f>
        <v>1</v>
      </c>
      <c r="DB137">
        <f>ROUND((ROUND(AT137*CZ137,2)*ROUND(0.3,7)),6)</f>
        <v>3048.087</v>
      </c>
      <c r="DC137">
        <f>ROUND((ROUND(AT137*AG137,2)*ROUND(0.3,7)),6)</f>
        <v>1294.818</v>
      </c>
      <c r="DD137" t="s">
        <v>3</v>
      </c>
      <c r="DE137" t="s">
        <v>3</v>
      </c>
      <c r="DF137">
        <f t="shared" si="52"/>
        <v>0</v>
      </c>
      <c r="DG137">
        <f>ROUND(ROUND(AF137,2)*CX137,2)</f>
        <v>3048.09</v>
      </c>
      <c r="DH137">
        <f t="shared" si="53"/>
        <v>1294.82</v>
      </c>
      <c r="DI137">
        <f t="shared" si="42"/>
        <v>0</v>
      </c>
      <c r="DJ137">
        <f>DG137+DH137</f>
        <v>4342.91</v>
      </c>
      <c r="DK137">
        <v>1</v>
      </c>
      <c r="DL137" t="s">
        <v>516</v>
      </c>
      <c r="DM137">
        <v>6</v>
      </c>
      <c r="DN137" t="s">
        <v>509</v>
      </c>
      <c r="DO137">
        <v>1</v>
      </c>
    </row>
    <row r="138" spans="1:119" x14ac:dyDescent="0.2">
      <c r="A138">
        <f>ROW(Source!A121)</f>
        <v>121</v>
      </c>
      <c r="B138">
        <v>65170852</v>
      </c>
      <c r="C138">
        <v>65171336</v>
      </c>
      <c r="D138">
        <v>56572833</v>
      </c>
      <c r="E138">
        <v>1</v>
      </c>
      <c r="F138">
        <v>1</v>
      </c>
      <c r="G138">
        <v>1</v>
      </c>
      <c r="H138">
        <v>2</v>
      </c>
      <c r="I138" t="s">
        <v>520</v>
      </c>
      <c r="J138" t="s">
        <v>521</v>
      </c>
      <c r="K138" t="s">
        <v>522</v>
      </c>
      <c r="L138">
        <v>1368</v>
      </c>
      <c r="N138">
        <v>1011</v>
      </c>
      <c r="O138" t="s">
        <v>515</v>
      </c>
      <c r="P138" t="s">
        <v>515</v>
      </c>
      <c r="Q138">
        <v>1</v>
      </c>
      <c r="W138">
        <v>0</v>
      </c>
      <c r="X138">
        <v>1230426758</v>
      </c>
      <c r="Y138">
        <f>(AT138*ROUND(0.3,7))</f>
        <v>0.315</v>
      </c>
      <c r="AA138">
        <v>0</v>
      </c>
      <c r="AB138">
        <v>578.28</v>
      </c>
      <c r="AC138">
        <v>490.55</v>
      </c>
      <c r="AD138">
        <v>0</v>
      </c>
      <c r="AE138">
        <v>0</v>
      </c>
      <c r="AF138">
        <v>477.92</v>
      </c>
      <c r="AG138">
        <v>490.55</v>
      </c>
      <c r="AH138">
        <v>0</v>
      </c>
      <c r="AI138">
        <v>1</v>
      </c>
      <c r="AJ138">
        <v>1.21</v>
      </c>
      <c r="AK138">
        <v>1</v>
      </c>
      <c r="AL138">
        <v>1</v>
      </c>
      <c r="AM138">
        <v>2</v>
      </c>
      <c r="AN138">
        <v>0</v>
      </c>
      <c r="AO138">
        <v>0</v>
      </c>
      <c r="AP138">
        <v>1</v>
      </c>
      <c r="AQ138">
        <v>1</v>
      </c>
      <c r="AR138">
        <v>0</v>
      </c>
      <c r="AS138" t="s">
        <v>3</v>
      </c>
      <c r="AT138">
        <v>1.05</v>
      </c>
      <c r="AU138" t="s">
        <v>223</v>
      </c>
      <c r="AV138">
        <v>1</v>
      </c>
      <c r="AW138">
        <v>2</v>
      </c>
      <c r="AX138">
        <v>65171350</v>
      </c>
      <c r="AY138">
        <v>1</v>
      </c>
      <c r="AZ138">
        <v>0</v>
      </c>
      <c r="BA138">
        <v>133</v>
      </c>
      <c r="BB138">
        <v>1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501.81600000000003</v>
      </c>
      <c r="BL138">
        <v>515.07749999999999</v>
      </c>
      <c r="BM138">
        <v>0</v>
      </c>
      <c r="BN138">
        <v>0</v>
      </c>
      <c r="BO138">
        <v>1.05</v>
      </c>
      <c r="BP138">
        <v>1</v>
      </c>
      <c r="BQ138">
        <v>0</v>
      </c>
      <c r="BR138">
        <v>150.54480000000001</v>
      </c>
      <c r="BS138">
        <v>154.52325000000002</v>
      </c>
      <c r="BT138">
        <v>0</v>
      </c>
      <c r="BU138">
        <v>0</v>
      </c>
      <c r="BV138">
        <v>0.315</v>
      </c>
      <c r="BW138">
        <v>1</v>
      </c>
      <c r="CV138">
        <v>0</v>
      </c>
      <c r="CW138">
        <f>ROUND(Y138*Source!I121*DO138,7)</f>
        <v>0.315</v>
      </c>
      <c r="CX138">
        <f>ROUND(Y138*Source!I121,7)</f>
        <v>0.315</v>
      </c>
      <c r="CY138">
        <f>AB138</f>
        <v>578.28</v>
      </c>
      <c r="CZ138">
        <f>AF138</f>
        <v>477.92</v>
      </c>
      <c r="DA138">
        <f>AJ138</f>
        <v>1.21</v>
      </c>
      <c r="DB138">
        <f>ROUND((ROUND(AT138*CZ138,2)*ROUND(0.3,7)),6)</f>
        <v>150.54599999999999</v>
      </c>
      <c r="DC138">
        <f>ROUND((ROUND(AT138*AG138,2)*ROUND(0.3,7)),6)</f>
        <v>154.524</v>
      </c>
      <c r="DD138" t="s">
        <v>3</v>
      </c>
      <c r="DE138" t="s">
        <v>3</v>
      </c>
      <c r="DF138">
        <f t="shared" si="52"/>
        <v>0</v>
      </c>
      <c r="DG138">
        <f>ROUND(ROUND(AF138*AJ138,2)*CX138,2)</f>
        <v>182.16</v>
      </c>
      <c r="DH138">
        <f t="shared" si="53"/>
        <v>154.52000000000001</v>
      </c>
      <c r="DI138">
        <f t="shared" si="42"/>
        <v>0</v>
      </c>
      <c r="DJ138">
        <f>DG138+DH138</f>
        <v>336.68</v>
      </c>
      <c r="DK138">
        <v>0</v>
      </c>
      <c r="DL138" t="s">
        <v>523</v>
      </c>
      <c r="DM138">
        <v>4</v>
      </c>
      <c r="DN138" t="s">
        <v>509</v>
      </c>
      <c r="DO138">
        <v>1</v>
      </c>
    </row>
    <row r="139" spans="1:119" x14ac:dyDescent="0.2">
      <c r="A139">
        <f>ROW(Source!A121)</f>
        <v>121</v>
      </c>
      <c r="B139">
        <v>65170852</v>
      </c>
      <c r="C139">
        <v>65171336</v>
      </c>
      <c r="D139">
        <v>56573153</v>
      </c>
      <c r="E139">
        <v>1</v>
      </c>
      <c r="F139">
        <v>1</v>
      </c>
      <c r="G139">
        <v>1</v>
      </c>
      <c r="H139">
        <v>2</v>
      </c>
      <c r="I139" t="s">
        <v>655</v>
      </c>
      <c r="J139" t="s">
        <v>656</v>
      </c>
      <c r="K139" t="s">
        <v>657</v>
      </c>
      <c r="L139">
        <v>1368</v>
      </c>
      <c r="N139">
        <v>1011</v>
      </c>
      <c r="O139" t="s">
        <v>515</v>
      </c>
      <c r="P139" t="s">
        <v>515</v>
      </c>
      <c r="Q139">
        <v>1</v>
      </c>
      <c r="W139">
        <v>0</v>
      </c>
      <c r="X139">
        <v>1280601743</v>
      </c>
      <c r="Y139">
        <f>(AT139*ROUND(0.3,7))</f>
        <v>0.55800000000000005</v>
      </c>
      <c r="AA139">
        <v>0</v>
      </c>
      <c r="AB139">
        <v>26.32</v>
      </c>
      <c r="AC139">
        <v>0</v>
      </c>
      <c r="AD139">
        <v>0</v>
      </c>
      <c r="AE139">
        <v>0</v>
      </c>
      <c r="AF139">
        <v>26.32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0</v>
      </c>
      <c r="AP139">
        <v>1</v>
      </c>
      <c r="AQ139">
        <v>1</v>
      </c>
      <c r="AR139">
        <v>0</v>
      </c>
      <c r="AS139" t="s">
        <v>3</v>
      </c>
      <c r="AT139">
        <v>1.86</v>
      </c>
      <c r="AU139" t="s">
        <v>223</v>
      </c>
      <c r="AV139">
        <v>1</v>
      </c>
      <c r="AW139">
        <v>2</v>
      </c>
      <c r="AX139">
        <v>65171351</v>
      </c>
      <c r="AY139">
        <v>1</v>
      </c>
      <c r="AZ139">
        <v>0</v>
      </c>
      <c r="BA139">
        <v>134</v>
      </c>
      <c r="BB139">
        <v>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48.955200000000005</v>
      </c>
      <c r="BL139">
        <v>0</v>
      </c>
      <c r="BM139">
        <v>0</v>
      </c>
      <c r="BN139">
        <v>0</v>
      </c>
      <c r="BO139">
        <v>0</v>
      </c>
      <c r="BP139">
        <v>1</v>
      </c>
      <c r="BQ139">
        <v>0</v>
      </c>
      <c r="BR139">
        <v>14.686560000000002</v>
      </c>
      <c r="BS139">
        <v>0</v>
      </c>
      <c r="BT139">
        <v>0</v>
      </c>
      <c r="BU139">
        <v>0</v>
      </c>
      <c r="BV139">
        <v>0</v>
      </c>
      <c r="BW139">
        <v>1</v>
      </c>
      <c r="CV139">
        <v>0</v>
      </c>
      <c r="CW139">
        <f>ROUND(Y139*Source!I121*DO139,7)</f>
        <v>0</v>
      </c>
      <c r="CX139">
        <f>ROUND(Y139*Source!I121,7)</f>
        <v>0.55800000000000005</v>
      </c>
      <c r="CY139">
        <f>AB139</f>
        <v>26.32</v>
      </c>
      <c r="CZ139">
        <f>AF139</f>
        <v>26.32</v>
      </c>
      <c r="DA139">
        <f>AJ139</f>
        <v>1</v>
      </c>
      <c r="DB139">
        <f>ROUND((ROUND(AT139*CZ139,2)*ROUND(0.3,7)),6)</f>
        <v>14.688000000000001</v>
      </c>
      <c r="DC139">
        <f>ROUND((ROUND(AT139*AG139,2)*ROUND(0.3,7)),6)</f>
        <v>0</v>
      </c>
      <c r="DD139" t="s">
        <v>3</v>
      </c>
      <c r="DE139" t="s">
        <v>3</v>
      </c>
      <c r="DF139">
        <f t="shared" si="52"/>
        <v>0</v>
      </c>
      <c r="DG139">
        <f t="shared" ref="DG139:DG147" si="54">ROUND(ROUND(AF139,2)*CX139,2)</f>
        <v>14.69</v>
      </c>
      <c r="DH139">
        <f t="shared" si="53"/>
        <v>0</v>
      </c>
      <c r="DI139">
        <f t="shared" si="42"/>
        <v>0</v>
      </c>
      <c r="DJ139">
        <f>DG139+DH139</f>
        <v>14.69</v>
      </c>
      <c r="DK139">
        <v>1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ROW(Source!A121)</f>
        <v>121</v>
      </c>
      <c r="B140">
        <v>65170852</v>
      </c>
      <c r="C140">
        <v>65171336</v>
      </c>
      <c r="D140">
        <v>56574475</v>
      </c>
      <c r="E140">
        <v>1</v>
      </c>
      <c r="F140">
        <v>1</v>
      </c>
      <c r="G140">
        <v>1</v>
      </c>
      <c r="H140">
        <v>3</v>
      </c>
      <c r="I140" t="s">
        <v>658</v>
      </c>
      <c r="J140" t="s">
        <v>659</v>
      </c>
      <c r="K140" t="s">
        <v>660</v>
      </c>
      <c r="L140">
        <v>1348</v>
      </c>
      <c r="N140">
        <v>1009</v>
      </c>
      <c r="O140" t="s">
        <v>94</v>
      </c>
      <c r="P140" t="s">
        <v>94</v>
      </c>
      <c r="Q140">
        <v>1000</v>
      </c>
      <c r="W140">
        <v>0</v>
      </c>
      <c r="X140">
        <v>1612360833</v>
      </c>
      <c r="Y140">
        <f>(AT140*ROUND(0,7))</f>
        <v>0</v>
      </c>
      <c r="AA140">
        <v>366063.06</v>
      </c>
      <c r="AB140">
        <v>0</v>
      </c>
      <c r="AC140">
        <v>0</v>
      </c>
      <c r="AD140">
        <v>0</v>
      </c>
      <c r="AE140">
        <v>305052.55</v>
      </c>
      <c r="AF140">
        <v>0</v>
      </c>
      <c r="AG140">
        <v>0</v>
      </c>
      <c r="AH140">
        <v>0</v>
      </c>
      <c r="AI140">
        <v>1.2</v>
      </c>
      <c r="AJ140">
        <v>1</v>
      </c>
      <c r="AK140">
        <v>1</v>
      </c>
      <c r="AL140">
        <v>1</v>
      </c>
      <c r="AM140">
        <v>2</v>
      </c>
      <c r="AN140">
        <v>0</v>
      </c>
      <c r="AO140">
        <v>0</v>
      </c>
      <c r="AP140">
        <v>1</v>
      </c>
      <c r="AQ140">
        <v>1</v>
      </c>
      <c r="AR140">
        <v>0</v>
      </c>
      <c r="AS140" t="s">
        <v>3</v>
      </c>
      <c r="AT140">
        <v>1E-3</v>
      </c>
      <c r="AU140" t="s">
        <v>97</v>
      </c>
      <c r="AV140">
        <v>0</v>
      </c>
      <c r="AW140">
        <v>2</v>
      </c>
      <c r="AX140">
        <v>65171352</v>
      </c>
      <c r="AY140">
        <v>1</v>
      </c>
      <c r="AZ140">
        <v>0</v>
      </c>
      <c r="BA140">
        <v>135</v>
      </c>
      <c r="BB140">
        <v>1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305.05255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1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ROUND(Y140*Source!I121,7)</f>
        <v>0</v>
      </c>
      <c r="CY140">
        <f>AA140</f>
        <v>366063.06</v>
      </c>
      <c r="CZ140">
        <f>AE140</f>
        <v>305052.55</v>
      </c>
      <c r="DA140">
        <f>AI140</f>
        <v>1.2</v>
      </c>
      <c r="DB140">
        <f>ROUND((ROUND(AT140*CZ140,2)*ROUND(0,7)),6)</f>
        <v>0</v>
      </c>
      <c r="DC140">
        <f>ROUND((ROUND(AT140*AG140,2)*ROUND(0,7)),6)</f>
        <v>0</v>
      </c>
      <c r="DD140" t="s">
        <v>3</v>
      </c>
      <c r="DE140" t="s">
        <v>3</v>
      </c>
      <c r="DF140">
        <f>ROUND(ROUND(AE140*AI140,2)*CX140,2)</f>
        <v>0</v>
      </c>
      <c r="DG140">
        <f t="shared" si="54"/>
        <v>0</v>
      </c>
      <c r="DH140">
        <f t="shared" si="53"/>
        <v>0</v>
      </c>
      <c r="DI140">
        <f t="shared" si="42"/>
        <v>0</v>
      </c>
      <c r="DJ140">
        <f>DF140</f>
        <v>0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ROW(Source!A121)</f>
        <v>121</v>
      </c>
      <c r="B141">
        <v>65170852</v>
      </c>
      <c r="C141">
        <v>65171336</v>
      </c>
      <c r="D141">
        <v>56579266</v>
      </c>
      <c r="E141">
        <v>1</v>
      </c>
      <c r="F141">
        <v>1</v>
      </c>
      <c r="G141">
        <v>1</v>
      </c>
      <c r="H141">
        <v>3</v>
      </c>
      <c r="I141" t="s">
        <v>550</v>
      </c>
      <c r="J141" t="s">
        <v>551</v>
      </c>
      <c r="K141" t="s">
        <v>552</v>
      </c>
      <c r="L141">
        <v>1346</v>
      </c>
      <c r="N141">
        <v>1009</v>
      </c>
      <c r="O141" t="s">
        <v>549</v>
      </c>
      <c r="P141" t="s">
        <v>549</v>
      </c>
      <c r="Q141">
        <v>1</v>
      </c>
      <c r="W141">
        <v>0</v>
      </c>
      <c r="X141">
        <v>-1545686836</v>
      </c>
      <c r="Y141">
        <f>(AT141*ROUND(0,7))</f>
        <v>0</v>
      </c>
      <c r="AA141">
        <v>147.85</v>
      </c>
      <c r="AB141">
        <v>0</v>
      </c>
      <c r="AC141">
        <v>0</v>
      </c>
      <c r="AD141">
        <v>0</v>
      </c>
      <c r="AE141">
        <v>155.63</v>
      </c>
      <c r="AF141">
        <v>0</v>
      </c>
      <c r="AG141">
        <v>0</v>
      </c>
      <c r="AH141">
        <v>0</v>
      </c>
      <c r="AI141">
        <v>0.95</v>
      </c>
      <c r="AJ141">
        <v>1</v>
      </c>
      <c r="AK141">
        <v>1</v>
      </c>
      <c r="AL141">
        <v>1</v>
      </c>
      <c r="AM141">
        <v>2</v>
      </c>
      <c r="AN141">
        <v>0</v>
      </c>
      <c r="AO141">
        <v>0</v>
      </c>
      <c r="AP141">
        <v>1</v>
      </c>
      <c r="AQ141">
        <v>1</v>
      </c>
      <c r="AR141">
        <v>0</v>
      </c>
      <c r="AS141" t="s">
        <v>3</v>
      </c>
      <c r="AT141">
        <v>1.36</v>
      </c>
      <c r="AU141" t="s">
        <v>97</v>
      </c>
      <c r="AV141">
        <v>0</v>
      </c>
      <c r="AW141">
        <v>2</v>
      </c>
      <c r="AX141">
        <v>65171353</v>
      </c>
      <c r="AY141">
        <v>1</v>
      </c>
      <c r="AZ141">
        <v>0</v>
      </c>
      <c r="BA141">
        <v>136</v>
      </c>
      <c r="BB141">
        <v>1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211.6568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1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v>0</v>
      </c>
      <c r="CX141">
        <f>ROUND(Y141*Source!I121,7)</f>
        <v>0</v>
      </c>
      <c r="CY141">
        <f>AA141</f>
        <v>147.85</v>
      </c>
      <c r="CZ141">
        <f>AE141</f>
        <v>155.63</v>
      </c>
      <c r="DA141">
        <f>AI141</f>
        <v>0.95</v>
      </c>
      <c r="DB141">
        <f>ROUND((ROUND(AT141*CZ141,2)*ROUND(0,7)),6)</f>
        <v>0</v>
      </c>
      <c r="DC141">
        <f>ROUND((ROUND(AT141*AG141,2)*ROUND(0,7)),6)</f>
        <v>0</v>
      </c>
      <c r="DD141" t="s">
        <v>3</v>
      </c>
      <c r="DE141" t="s">
        <v>3</v>
      </c>
      <c r="DF141">
        <f>ROUND(ROUND(AE141*AI141,2)*CX141,2)</f>
        <v>0</v>
      </c>
      <c r="DG141">
        <f t="shared" si="54"/>
        <v>0</v>
      </c>
      <c r="DH141">
        <f t="shared" si="53"/>
        <v>0</v>
      </c>
      <c r="DI141">
        <f t="shared" si="42"/>
        <v>0</v>
      </c>
      <c r="DJ141">
        <f>DF141</f>
        <v>0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ROW(Source!A121)</f>
        <v>121</v>
      </c>
      <c r="B142">
        <v>65170852</v>
      </c>
      <c r="C142">
        <v>65171336</v>
      </c>
      <c r="D142">
        <v>56592838</v>
      </c>
      <c r="E142">
        <v>1</v>
      </c>
      <c r="F142">
        <v>1</v>
      </c>
      <c r="G142">
        <v>1</v>
      </c>
      <c r="H142">
        <v>3</v>
      </c>
      <c r="I142" t="s">
        <v>661</v>
      </c>
      <c r="J142" t="s">
        <v>662</v>
      </c>
      <c r="K142" t="s">
        <v>663</v>
      </c>
      <c r="L142">
        <v>1348</v>
      </c>
      <c r="N142">
        <v>1009</v>
      </c>
      <c r="O142" t="s">
        <v>94</v>
      </c>
      <c r="P142" t="s">
        <v>94</v>
      </c>
      <c r="Q142">
        <v>1000</v>
      </c>
      <c r="W142">
        <v>0</v>
      </c>
      <c r="X142">
        <v>1567871126</v>
      </c>
      <c r="Y142">
        <f>(AT142*ROUND(0,7))</f>
        <v>0</v>
      </c>
      <c r="AA142">
        <v>61873.2</v>
      </c>
      <c r="AB142">
        <v>0</v>
      </c>
      <c r="AC142">
        <v>0</v>
      </c>
      <c r="AD142">
        <v>0</v>
      </c>
      <c r="AE142">
        <v>70310.45</v>
      </c>
      <c r="AF142">
        <v>0</v>
      </c>
      <c r="AG142">
        <v>0</v>
      </c>
      <c r="AH142">
        <v>0</v>
      </c>
      <c r="AI142">
        <v>0.88</v>
      </c>
      <c r="AJ142">
        <v>1</v>
      </c>
      <c r="AK142">
        <v>1</v>
      </c>
      <c r="AL142">
        <v>1</v>
      </c>
      <c r="AM142">
        <v>2</v>
      </c>
      <c r="AN142">
        <v>0</v>
      </c>
      <c r="AO142">
        <v>0</v>
      </c>
      <c r="AP142">
        <v>1</v>
      </c>
      <c r="AQ142">
        <v>1</v>
      </c>
      <c r="AR142">
        <v>0</v>
      </c>
      <c r="AS142" t="s">
        <v>3</v>
      </c>
      <c r="AT142">
        <v>7.0000000000000001E-3</v>
      </c>
      <c r="AU142" t="s">
        <v>97</v>
      </c>
      <c r="AV142">
        <v>0</v>
      </c>
      <c r="AW142">
        <v>2</v>
      </c>
      <c r="AX142">
        <v>65171354</v>
      </c>
      <c r="AY142">
        <v>1</v>
      </c>
      <c r="AZ142">
        <v>0</v>
      </c>
      <c r="BA142">
        <v>137</v>
      </c>
      <c r="BB142">
        <v>1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492.17314999999996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1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v>0</v>
      </c>
      <c r="CX142">
        <f>ROUND(Y142*Source!I121,7)</f>
        <v>0</v>
      </c>
      <c r="CY142">
        <f>AA142</f>
        <v>61873.2</v>
      </c>
      <c r="CZ142">
        <f>AE142</f>
        <v>70310.45</v>
      </c>
      <c r="DA142">
        <f>AI142</f>
        <v>0.88</v>
      </c>
      <c r="DB142">
        <f>ROUND((ROUND(AT142*CZ142,2)*ROUND(0,7)),6)</f>
        <v>0</v>
      </c>
      <c r="DC142">
        <f>ROUND((ROUND(AT142*AG142,2)*ROUND(0,7)),6)</f>
        <v>0</v>
      </c>
      <c r="DD142" t="s">
        <v>3</v>
      </c>
      <c r="DE142" t="s">
        <v>3</v>
      </c>
      <c r="DF142">
        <f>ROUND(ROUND(AE142*AI142,2)*CX142,2)</f>
        <v>0</v>
      </c>
      <c r="DG142">
        <f t="shared" si="54"/>
        <v>0</v>
      </c>
      <c r="DH142">
        <f t="shared" si="53"/>
        <v>0</v>
      </c>
      <c r="DI142">
        <f t="shared" si="42"/>
        <v>0</v>
      </c>
      <c r="DJ142">
        <f>DF142</f>
        <v>0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ROW(Source!A121)</f>
        <v>121</v>
      </c>
      <c r="B143">
        <v>65170852</v>
      </c>
      <c r="C143">
        <v>65171336</v>
      </c>
      <c r="D143">
        <v>56610296</v>
      </c>
      <c r="E143">
        <v>1</v>
      </c>
      <c r="F143">
        <v>1</v>
      </c>
      <c r="G143">
        <v>1</v>
      </c>
      <c r="H143">
        <v>3</v>
      </c>
      <c r="I143" t="s">
        <v>664</v>
      </c>
      <c r="J143" t="s">
        <v>665</v>
      </c>
      <c r="K143" t="s">
        <v>666</v>
      </c>
      <c r="L143">
        <v>1348</v>
      </c>
      <c r="N143">
        <v>1009</v>
      </c>
      <c r="O143" t="s">
        <v>94</v>
      </c>
      <c r="P143" t="s">
        <v>94</v>
      </c>
      <c r="Q143">
        <v>1000</v>
      </c>
      <c r="W143">
        <v>0</v>
      </c>
      <c r="X143">
        <v>645998788</v>
      </c>
      <c r="Y143">
        <f>(AT143*ROUND(0,7))</f>
        <v>0</v>
      </c>
      <c r="AA143">
        <v>435262.96</v>
      </c>
      <c r="AB143">
        <v>0</v>
      </c>
      <c r="AC143">
        <v>0</v>
      </c>
      <c r="AD143">
        <v>0</v>
      </c>
      <c r="AE143">
        <v>254539.74</v>
      </c>
      <c r="AF143">
        <v>0</v>
      </c>
      <c r="AG143">
        <v>0</v>
      </c>
      <c r="AH143">
        <v>0</v>
      </c>
      <c r="AI143">
        <v>1.71</v>
      </c>
      <c r="AJ143">
        <v>1</v>
      </c>
      <c r="AK143">
        <v>1</v>
      </c>
      <c r="AL143">
        <v>1</v>
      </c>
      <c r="AM143">
        <v>2</v>
      </c>
      <c r="AN143">
        <v>0</v>
      </c>
      <c r="AO143">
        <v>0</v>
      </c>
      <c r="AP143">
        <v>1</v>
      </c>
      <c r="AQ143">
        <v>1</v>
      </c>
      <c r="AR143">
        <v>0</v>
      </c>
      <c r="AS143" t="s">
        <v>3</v>
      </c>
      <c r="AT143">
        <v>1.8000000000000001E-4</v>
      </c>
      <c r="AU143" t="s">
        <v>97</v>
      </c>
      <c r="AV143">
        <v>0</v>
      </c>
      <c r="AW143">
        <v>2</v>
      </c>
      <c r="AX143">
        <v>65171355</v>
      </c>
      <c r="AY143">
        <v>1</v>
      </c>
      <c r="AZ143">
        <v>0</v>
      </c>
      <c r="BA143">
        <v>138</v>
      </c>
      <c r="BB143">
        <v>1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45.8171532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1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v>0</v>
      </c>
      <c r="CX143">
        <f>ROUND(Y143*Source!I121,7)</f>
        <v>0</v>
      </c>
      <c r="CY143">
        <f>AA143</f>
        <v>435262.96</v>
      </c>
      <c r="CZ143">
        <f>AE143</f>
        <v>254539.74</v>
      </c>
      <c r="DA143">
        <f>AI143</f>
        <v>1.71</v>
      </c>
      <c r="DB143">
        <f>ROUND((ROUND(AT143*CZ143,2)*ROUND(0,7)),6)</f>
        <v>0</v>
      </c>
      <c r="DC143">
        <f>ROUND((ROUND(AT143*AG143,2)*ROUND(0,7)),6)</f>
        <v>0</v>
      </c>
      <c r="DD143" t="s">
        <v>3</v>
      </c>
      <c r="DE143" t="s">
        <v>3</v>
      </c>
      <c r="DF143">
        <f>ROUND(ROUND(AE143*AI143,2)*CX143,2)</f>
        <v>0</v>
      </c>
      <c r="DG143">
        <f t="shared" si="54"/>
        <v>0</v>
      </c>
      <c r="DH143">
        <f t="shared" si="53"/>
        <v>0</v>
      </c>
      <c r="DI143">
        <f t="shared" si="42"/>
        <v>0</v>
      </c>
      <c r="DJ143">
        <f>DF143</f>
        <v>0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ROW(Source!A121)</f>
        <v>121</v>
      </c>
      <c r="B144">
        <v>65170852</v>
      </c>
      <c r="C144">
        <v>65171336</v>
      </c>
      <c r="D144">
        <v>56223463</v>
      </c>
      <c r="E144">
        <v>108</v>
      </c>
      <c r="F144">
        <v>1</v>
      </c>
      <c r="G144">
        <v>1</v>
      </c>
      <c r="H144">
        <v>3</v>
      </c>
      <c r="I144" t="s">
        <v>667</v>
      </c>
      <c r="J144" t="s">
        <v>3</v>
      </c>
      <c r="K144" t="s">
        <v>668</v>
      </c>
      <c r="L144">
        <v>3277935</v>
      </c>
      <c r="N144">
        <v>1013</v>
      </c>
      <c r="O144" t="s">
        <v>669</v>
      </c>
      <c r="P144" t="s">
        <v>669</v>
      </c>
      <c r="Q144">
        <v>1</v>
      </c>
      <c r="W144">
        <v>0</v>
      </c>
      <c r="X144">
        <v>274903907</v>
      </c>
      <c r="Y144">
        <f>AT144</f>
        <v>2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M144">
        <v>-2</v>
      </c>
      <c r="AN144">
        <v>0</v>
      </c>
      <c r="AO144">
        <v>0</v>
      </c>
      <c r="AP144">
        <v>0</v>
      </c>
      <c r="AQ144">
        <v>1</v>
      </c>
      <c r="AR144">
        <v>0</v>
      </c>
      <c r="AS144" t="s">
        <v>3</v>
      </c>
      <c r="AT144">
        <v>2</v>
      </c>
      <c r="AU144" t="s">
        <v>3</v>
      </c>
      <c r="AV144">
        <v>0</v>
      </c>
      <c r="AW144">
        <v>2</v>
      </c>
      <c r="AX144">
        <v>65171356</v>
      </c>
      <c r="AY144">
        <v>1</v>
      </c>
      <c r="AZ144">
        <v>2048</v>
      </c>
      <c r="BA144">
        <v>139</v>
      </c>
      <c r="BB144">
        <v>1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v>0</v>
      </c>
      <c r="CX144">
        <f>ROUND(Y144*Source!I121,7)</f>
        <v>2</v>
      </c>
      <c r="CY144">
        <f>AA144</f>
        <v>0</v>
      </c>
      <c r="CZ144">
        <f>AE144</f>
        <v>0</v>
      </c>
      <c r="DA144">
        <f>AI144</f>
        <v>1</v>
      </c>
      <c r="DB144">
        <f>ROUND(ROUND(AT144*CZ144,2),6)</f>
        <v>0</v>
      </c>
      <c r="DC144">
        <f>ROUND(ROUND(AT144*AG144,2),6)</f>
        <v>0</v>
      </c>
      <c r="DD144" t="s">
        <v>3</v>
      </c>
      <c r="DE144" t="s">
        <v>3</v>
      </c>
      <c r="DF144">
        <f>ROUND(ROUND(AE144,2)*CX144,2)</f>
        <v>0</v>
      </c>
      <c r="DG144">
        <f t="shared" si="54"/>
        <v>0</v>
      </c>
      <c r="DH144">
        <f t="shared" si="53"/>
        <v>0</v>
      </c>
      <c r="DI144">
        <f t="shared" si="42"/>
        <v>0</v>
      </c>
      <c r="DJ144">
        <f>DF144</f>
        <v>0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ROW(Source!A122)</f>
        <v>122</v>
      </c>
      <c r="B145">
        <v>65170852</v>
      </c>
      <c r="C145">
        <v>65171357</v>
      </c>
      <c r="D145">
        <v>37071037</v>
      </c>
      <c r="E145">
        <v>108</v>
      </c>
      <c r="F145">
        <v>1</v>
      </c>
      <c r="G145">
        <v>1</v>
      </c>
      <c r="H145">
        <v>1</v>
      </c>
      <c r="I145" t="s">
        <v>653</v>
      </c>
      <c r="J145" t="s">
        <v>3</v>
      </c>
      <c r="K145" t="s">
        <v>654</v>
      </c>
      <c r="L145">
        <v>1191</v>
      </c>
      <c r="N145">
        <v>1013</v>
      </c>
      <c r="O145" t="s">
        <v>509</v>
      </c>
      <c r="P145" t="s">
        <v>509</v>
      </c>
      <c r="Q145">
        <v>1</v>
      </c>
      <c r="W145">
        <v>0</v>
      </c>
      <c r="X145">
        <v>-1111239348</v>
      </c>
      <c r="Y145">
        <f>(AT145*ROUND(0.3,7))</f>
        <v>5.9099999999999993</v>
      </c>
      <c r="AA145">
        <v>0</v>
      </c>
      <c r="AB145">
        <v>0</v>
      </c>
      <c r="AC145">
        <v>0</v>
      </c>
      <c r="AD145">
        <v>490.55</v>
      </c>
      <c r="AE145">
        <v>0</v>
      </c>
      <c r="AF145">
        <v>0</v>
      </c>
      <c r="AG145">
        <v>0</v>
      </c>
      <c r="AH145">
        <v>490.55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0</v>
      </c>
      <c r="AP145">
        <v>1</v>
      </c>
      <c r="AQ145">
        <v>1</v>
      </c>
      <c r="AR145">
        <v>0</v>
      </c>
      <c r="AS145" t="s">
        <v>3</v>
      </c>
      <c r="AT145">
        <v>19.7</v>
      </c>
      <c r="AU145" t="s">
        <v>223</v>
      </c>
      <c r="AV145">
        <v>1</v>
      </c>
      <c r="AW145">
        <v>2</v>
      </c>
      <c r="AX145">
        <v>65171365</v>
      </c>
      <c r="AY145">
        <v>1</v>
      </c>
      <c r="AZ145">
        <v>0</v>
      </c>
      <c r="BA145">
        <v>140</v>
      </c>
      <c r="BB145">
        <v>1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9663.8349999999991</v>
      </c>
      <c r="BN145">
        <v>19.7</v>
      </c>
      <c r="BO145">
        <v>0</v>
      </c>
      <c r="BP145">
        <v>1</v>
      </c>
      <c r="BQ145">
        <v>0</v>
      </c>
      <c r="BR145">
        <v>0</v>
      </c>
      <c r="BS145">
        <v>0</v>
      </c>
      <c r="BT145">
        <v>2899.1504999999997</v>
      </c>
      <c r="BU145">
        <v>5.9099999999999993</v>
      </c>
      <c r="BV145">
        <v>0</v>
      </c>
      <c r="BW145">
        <v>1</v>
      </c>
      <c r="CU145">
        <f>ROUND(AT145*Source!I122*AH145*AL145,2)</f>
        <v>9663.84</v>
      </c>
      <c r="CV145">
        <f>ROUND(Y145*Source!I122,7)</f>
        <v>5.91</v>
      </c>
      <c r="CW145">
        <v>0</v>
      </c>
      <c r="CX145">
        <f>ROUND(Y145*Source!I122,7)</f>
        <v>5.91</v>
      </c>
      <c r="CY145">
        <f>AD145</f>
        <v>490.55</v>
      </c>
      <c r="CZ145">
        <f>AH145</f>
        <v>490.55</v>
      </c>
      <c r="DA145">
        <f>AL145</f>
        <v>1</v>
      </c>
      <c r="DB145">
        <f>ROUND((ROUND(AT145*CZ145,2)*ROUND(0.3,7)),6)</f>
        <v>2899.152</v>
      </c>
      <c r="DC145">
        <f>ROUND((ROUND(AT145*AG145,2)*ROUND(0.3,7)),6)</f>
        <v>0</v>
      </c>
      <c r="DD145" t="s">
        <v>3</v>
      </c>
      <c r="DE145" t="s">
        <v>3</v>
      </c>
      <c r="DF145">
        <f>ROUND(ROUND(AE145,2)*CX145,2)</f>
        <v>0</v>
      </c>
      <c r="DG145">
        <f t="shared" si="54"/>
        <v>0</v>
      </c>
      <c r="DH145">
        <f t="shared" si="53"/>
        <v>0</v>
      </c>
      <c r="DI145">
        <f t="shared" ref="DI145:DI208" si="55">ROUND(ROUND(AH145,2)*CX145,2)</f>
        <v>2899.15</v>
      </c>
      <c r="DJ145">
        <f>DI145</f>
        <v>2899.15</v>
      </c>
      <c r="DK145">
        <v>1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ROW(Source!A122)</f>
        <v>122</v>
      </c>
      <c r="B146">
        <v>65170852</v>
      </c>
      <c r="C146">
        <v>65171357</v>
      </c>
      <c r="D146">
        <v>37064876</v>
      </c>
      <c r="E146">
        <v>108</v>
      </c>
      <c r="F146">
        <v>1</v>
      </c>
      <c r="G146">
        <v>1</v>
      </c>
      <c r="H146">
        <v>1</v>
      </c>
      <c r="I146" t="s">
        <v>510</v>
      </c>
      <c r="J146" t="s">
        <v>3</v>
      </c>
      <c r="K146" t="s">
        <v>511</v>
      </c>
      <c r="L146">
        <v>1191</v>
      </c>
      <c r="N146">
        <v>1013</v>
      </c>
      <c r="O146" t="s">
        <v>509</v>
      </c>
      <c r="P146" t="s">
        <v>509</v>
      </c>
      <c r="Q146">
        <v>1</v>
      </c>
      <c r="W146">
        <v>0</v>
      </c>
      <c r="X146">
        <v>-1417349443</v>
      </c>
      <c r="Y146">
        <f>(AT146*ROUND(0.3,7))</f>
        <v>0.56399999999999995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0</v>
      </c>
      <c r="AP146">
        <v>1</v>
      </c>
      <c r="AQ146">
        <v>1</v>
      </c>
      <c r="AR146">
        <v>0</v>
      </c>
      <c r="AS146" t="s">
        <v>3</v>
      </c>
      <c r="AT146">
        <v>1.88</v>
      </c>
      <c r="AU146" t="s">
        <v>223</v>
      </c>
      <c r="AV146">
        <v>2</v>
      </c>
      <c r="AW146">
        <v>2</v>
      </c>
      <c r="AX146">
        <v>65171366</v>
      </c>
      <c r="AY146">
        <v>1</v>
      </c>
      <c r="AZ146">
        <v>0</v>
      </c>
      <c r="BA146">
        <v>141</v>
      </c>
      <c r="BB146">
        <v>1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ROUND(Y146*Source!I122,7)</f>
        <v>0.56399999999999995</v>
      </c>
      <c r="CY146">
        <f>AD146</f>
        <v>0</v>
      </c>
      <c r="CZ146">
        <f>AH146</f>
        <v>0</v>
      </c>
      <c r="DA146">
        <f>AL146</f>
        <v>1</v>
      </c>
      <c r="DB146">
        <f>ROUND((ROUND(AT146*CZ146,2)*ROUND(0.3,7)),6)</f>
        <v>0</v>
      </c>
      <c r="DC146">
        <f>ROUND((ROUND(AT146*AG146,2)*ROUND(0.3,7)),6)</f>
        <v>0</v>
      </c>
      <c r="DD146" t="s">
        <v>3</v>
      </c>
      <c r="DE146" t="s">
        <v>3</v>
      </c>
      <c r="DF146">
        <f>ROUND(ROUND(AE146,2)*CX146,2)</f>
        <v>0</v>
      </c>
      <c r="DG146">
        <f t="shared" si="54"/>
        <v>0</v>
      </c>
      <c r="DH146">
        <f t="shared" si="53"/>
        <v>0</v>
      </c>
      <c r="DI146">
        <f t="shared" si="55"/>
        <v>0</v>
      </c>
      <c r="DJ146">
        <f>DI146</f>
        <v>0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ROW(Source!A122)</f>
        <v>122</v>
      </c>
      <c r="B147">
        <v>65170852</v>
      </c>
      <c r="C147">
        <v>65171357</v>
      </c>
      <c r="D147">
        <v>56571417</v>
      </c>
      <c r="E147">
        <v>1</v>
      </c>
      <c r="F147">
        <v>1</v>
      </c>
      <c r="G147">
        <v>1</v>
      </c>
      <c r="H147">
        <v>2</v>
      </c>
      <c r="I147" t="s">
        <v>512</v>
      </c>
      <c r="J147" t="s">
        <v>513</v>
      </c>
      <c r="K147" t="s">
        <v>514</v>
      </c>
      <c r="L147">
        <v>1368</v>
      </c>
      <c r="N147">
        <v>1011</v>
      </c>
      <c r="O147" t="s">
        <v>515</v>
      </c>
      <c r="P147" t="s">
        <v>515</v>
      </c>
      <c r="Q147">
        <v>1</v>
      </c>
      <c r="W147">
        <v>0</v>
      </c>
      <c r="X147">
        <v>-848025172</v>
      </c>
      <c r="Y147">
        <f>(AT147*ROUND(0.3,7))</f>
        <v>0.27</v>
      </c>
      <c r="AA147">
        <v>0</v>
      </c>
      <c r="AB147">
        <v>1551.19</v>
      </c>
      <c r="AC147">
        <v>658.94</v>
      </c>
      <c r="AD147">
        <v>0</v>
      </c>
      <c r="AE147">
        <v>0</v>
      </c>
      <c r="AF147">
        <v>1551.19</v>
      </c>
      <c r="AG147">
        <v>658.94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0</v>
      </c>
      <c r="AP147">
        <v>1</v>
      </c>
      <c r="AQ147">
        <v>1</v>
      </c>
      <c r="AR147">
        <v>0</v>
      </c>
      <c r="AS147" t="s">
        <v>3</v>
      </c>
      <c r="AT147">
        <v>0.9</v>
      </c>
      <c r="AU147" t="s">
        <v>223</v>
      </c>
      <c r="AV147">
        <v>1</v>
      </c>
      <c r="AW147">
        <v>2</v>
      </c>
      <c r="AX147">
        <v>65171367</v>
      </c>
      <c r="AY147">
        <v>1</v>
      </c>
      <c r="AZ147">
        <v>0</v>
      </c>
      <c r="BA147">
        <v>142</v>
      </c>
      <c r="BB147">
        <v>1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1396.0710000000001</v>
      </c>
      <c r="BL147">
        <v>593.04600000000005</v>
      </c>
      <c r="BM147">
        <v>0</v>
      </c>
      <c r="BN147">
        <v>0</v>
      </c>
      <c r="BO147">
        <v>0.9</v>
      </c>
      <c r="BP147">
        <v>1</v>
      </c>
      <c r="BQ147">
        <v>0</v>
      </c>
      <c r="BR147">
        <v>418.82130000000006</v>
      </c>
      <c r="BS147">
        <v>177.91380000000004</v>
      </c>
      <c r="BT147">
        <v>0</v>
      </c>
      <c r="BU147">
        <v>0</v>
      </c>
      <c r="BV147">
        <v>0.27</v>
      </c>
      <c r="BW147">
        <v>1</v>
      </c>
      <c r="CV147">
        <v>0</v>
      </c>
      <c r="CW147">
        <f>ROUND(Y147*Source!I122*DO147,7)</f>
        <v>0.27</v>
      </c>
      <c r="CX147">
        <f>ROUND(Y147*Source!I122,7)</f>
        <v>0.27</v>
      </c>
      <c r="CY147">
        <f>AB147</f>
        <v>1551.19</v>
      </c>
      <c r="CZ147">
        <f>AF147</f>
        <v>1551.19</v>
      </c>
      <c r="DA147">
        <f>AJ147</f>
        <v>1</v>
      </c>
      <c r="DB147">
        <f>ROUND((ROUND(AT147*CZ147,2)*ROUND(0.3,7)),6)</f>
        <v>418.82100000000003</v>
      </c>
      <c r="DC147">
        <f>ROUND((ROUND(AT147*AG147,2)*ROUND(0.3,7)),6)</f>
        <v>177.91499999999999</v>
      </c>
      <c r="DD147" t="s">
        <v>3</v>
      </c>
      <c r="DE147" t="s">
        <v>3</v>
      </c>
      <c r="DF147">
        <f>ROUND(ROUND(AE147,2)*CX147,2)</f>
        <v>0</v>
      </c>
      <c r="DG147">
        <f t="shared" si="54"/>
        <v>418.82</v>
      </c>
      <c r="DH147">
        <f t="shared" si="53"/>
        <v>177.91</v>
      </c>
      <c r="DI147">
        <f t="shared" si="55"/>
        <v>0</v>
      </c>
      <c r="DJ147">
        <f>DG147+DH147</f>
        <v>596.73</v>
      </c>
      <c r="DK147">
        <v>1</v>
      </c>
      <c r="DL147" t="s">
        <v>516</v>
      </c>
      <c r="DM147">
        <v>6</v>
      </c>
      <c r="DN147" t="s">
        <v>509</v>
      </c>
      <c r="DO147">
        <v>1</v>
      </c>
    </row>
    <row r="148" spans="1:119" x14ac:dyDescent="0.2">
      <c r="A148">
        <f>ROW(Source!A122)</f>
        <v>122</v>
      </c>
      <c r="B148">
        <v>65170852</v>
      </c>
      <c r="C148">
        <v>65171357</v>
      </c>
      <c r="D148">
        <v>56572833</v>
      </c>
      <c r="E148">
        <v>1</v>
      </c>
      <c r="F148">
        <v>1</v>
      </c>
      <c r="G148">
        <v>1</v>
      </c>
      <c r="H148">
        <v>2</v>
      </c>
      <c r="I148" t="s">
        <v>520</v>
      </c>
      <c r="J148" t="s">
        <v>521</v>
      </c>
      <c r="K148" t="s">
        <v>522</v>
      </c>
      <c r="L148">
        <v>1368</v>
      </c>
      <c r="N148">
        <v>1011</v>
      </c>
      <c r="O148" t="s">
        <v>515</v>
      </c>
      <c r="P148" t="s">
        <v>515</v>
      </c>
      <c r="Q148">
        <v>1</v>
      </c>
      <c r="W148">
        <v>0</v>
      </c>
      <c r="X148">
        <v>1230426758</v>
      </c>
      <c r="Y148">
        <f>(AT148*ROUND(0.3,7))</f>
        <v>0.29399999999999998</v>
      </c>
      <c r="AA148">
        <v>0</v>
      </c>
      <c r="AB148">
        <v>578.28</v>
      </c>
      <c r="AC148">
        <v>490.55</v>
      </c>
      <c r="AD148">
        <v>0</v>
      </c>
      <c r="AE148">
        <v>0</v>
      </c>
      <c r="AF148">
        <v>477.92</v>
      </c>
      <c r="AG148">
        <v>490.55</v>
      </c>
      <c r="AH148">
        <v>0</v>
      </c>
      <c r="AI148">
        <v>1</v>
      </c>
      <c r="AJ148">
        <v>1.21</v>
      </c>
      <c r="AK148">
        <v>1</v>
      </c>
      <c r="AL148">
        <v>1</v>
      </c>
      <c r="AM148">
        <v>2</v>
      </c>
      <c r="AN148">
        <v>0</v>
      </c>
      <c r="AO148">
        <v>0</v>
      </c>
      <c r="AP148">
        <v>1</v>
      </c>
      <c r="AQ148">
        <v>1</v>
      </c>
      <c r="AR148">
        <v>0</v>
      </c>
      <c r="AS148" t="s">
        <v>3</v>
      </c>
      <c r="AT148">
        <v>0.98</v>
      </c>
      <c r="AU148" t="s">
        <v>223</v>
      </c>
      <c r="AV148">
        <v>1</v>
      </c>
      <c r="AW148">
        <v>2</v>
      </c>
      <c r="AX148">
        <v>65171368</v>
      </c>
      <c r="AY148">
        <v>1</v>
      </c>
      <c r="AZ148">
        <v>0</v>
      </c>
      <c r="BA148">
        <v>143</v>
      </c>
      <c r="BB148">
        <v>1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468.36160000000001</v>
      </c>
      <c r="BL148">
        <v>480.73899999999998</v>
      </c>
      <c r="BM148">
        <v>0</v>
      </c>
      <c r="BN148">
        <v>0</v>
      </c>
      <c r="BO148">
        <v>0.98</v>
      </c>
      <c r="BP148">
        <v>1</v>
      </c>
      <c r="BQ148">
        <v>0</v>
      </c>
      <c r="BR148">
        <v>140.50847999999999</v>
      </c>
      <c r="BS148">
        <v>144.2217</v>
      </c>
      <c r="BT148">
        <v>0</v>
      </c>
      <c r="BU148">
        <v>0</v>
      </c>
      <c r="BV148">
        <v>0.29399999999999998</v>
      </c>
      <c r="BW148">
        <v>1</v>
      </c>
      <c r="CV148">
        <v>0</v>
      </c>
      <c r="CW148">
        <f>ROUND(Y148*Source!I122*DO148,7)</f>
        <v>0.29399999999999998</v>
      </c>
      <c r="CX148">
        <f>ROUND(Y148*Source!I122,7)</f>
        <v>0.29399999999999998</v>
      </c>
      <c r="CY148">
        <f>AB148</f>
        <v>578.28</v>
      </c>
      <c r="CZ148">
        <f>AF148</f>
        <v>477.92</v>
      </c>
      <c r="DA148">
        <f>AJ148</f>
        <v>1.21</v>
      </c>
      <c r="DB148">
        <f>ROUND((ROUND(AT148*CZ148,2)*ROUND(0.3,7)),6)</f>
        <v>140.50800000000001</v>
      </c>
      <c r="DC148">
        <f>ROUND((ROUND(AT148*AG148,2)*ROUND(0.3,7)),6)</f>
        <v>144.22200000000001</v>
      </c>
      <c r="DD148" t="s">
        <v>3</v>
      </c>
      <c r="DE148" t="s">
        <v>3</v>
      </c>
      <c r="DF148">
        <f>ROUND(ROUND(AE148,2)*CX148,2)</f>
        <v>0</v>
      </c>
      <c r="DG148">
        <f>ROUND(ROUND(AF148*AJ148,2)*CX148,2)</f>
        <v>170.01</v>
      </c>
      <c r="DH148">
        <f t="shared" si="53"/>
        <v>144.22</v>
      </c>
      <c r="DI148">
        <f t="shared" si="55"/>
        <v>0</v>
      </c>
      <c r="DJ148">
        <f>DG148+DH148</f>
        <v>314.23</v>
      </c>
      <c r="DK148">
        <v>0</v>
      </c>
      <c r="DL148" t="s">
        <v>523</v>
      </c>
      <c r="DM148">
        <v>4</v>
      </c>
      <c r="DN148" t="s">
        <v>509</v>
      </c>
      <c r="DO148">
        <v>1</v>
      </c>
    </row>
    <row r="149" spans="1:119" x14ac:dyDescent="0.2">
      <c r="A149">
        <f>ROW(Source!A122)</f>
        <v>122</v>
      </c>
      <c r="B149">
        <v>65170852</v>
      </c>
      <c r="C149">
        <v>65171357</v>
      </c>
      <c r="D149">
        <v>56580636</v>
      </c>
      <c r="E149">
        <v>1</v>
      </c>
      <c r="F149">
        <v>1</v>
      </c>
      <c r="G149">
        <v>1</v>
      </c>
      <c r="H149">
        <v>3</v>
      </c>
      <c r="I149" t="s">
        <v>670</v>
      </c>
      <c r="J149" t="s">
        <v>671</v>
      </c>
      <c r="K149" t="s">
        <v>672</v>
      </c>
      <c r="L149">
        <v>1346</v>
      </c>
      <c r="N149">
        <v>1009</v>
      </c>
      <c r="O149" t="s">
        <v>549</v>
      </c>
      <c r="P149" t="s">
        <v>549</v>
      </c>
      <c r="Q149">
        <v>1</v>
      </c>
      <c r="W149">
        <v>0</v>
      </c>
      <c r="X149">
        <v>673035619</v>
      </c>
      <c r="Y149">
        <f>(AT149*ROUND(0,7))</f>
        <v>0</v>
      </c>
      <c r="AA149">
        <v>244.92</v>
      </c>
      <c r="AB149">
        <v>0</v>
      </c>
      <c r="AC149">
        <v>0</v>
      </c>
      <c r="AD149">
        <v>0</v>
      </c>
      <c r="AE149">
        <v>176.2</v>
      </c>
      <c r="AF149">
        <v>0</v>
      </c>
      <c r="AG149">
        <v>0</v>
      </c>
      <c r="AH149">
        <v>0</v>
      </c>
      <c r="AI149">
        <v>1.39</v>
      </c>
      <c r="AJ149">
        <v>1</v>
      </c>
      <c r="AK149">
        <v>1</v>
      </c>
      <c r="AL149">
        <v>1</v>
      </c>
      <c r="AM149">
        <v>2</v>
      </c>
      <c r="AN149">
        <v>0</v>
      </c>
      <c r="AO149">
        <v>0</v>
      </c>
      <c r="AP149">
        <v>1</v>
      </c>
      <c r="AQ149">
        <v>1</v>
      </c>
      <c r="AR149">
        <v>0</v>
      </c>
      <c r="AS149" t="s">
        <v>3</v>
      </c>
      <c r="AT149">
        <v>7</v>
      </c>
      <c r="AU149" t="s">
        <v>97</v>
      </c>
      <c r="AV149">
        <v>0</v>
      </c>
      <c r="AW149">
        <v>2</v>
      </c>
      <c r="AX149">
        <v>65171369</v>
      </c>
      <c r="AY149">
        <v>1</v>
      </c>
      <c r="AZ149">
        <v>0</v>
      </c>
      <c r="BA149">
        <v>144</v>
      </c>
      <c r="BB149">
        <v>1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1233.3999999999999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1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ROUND(Y149*Source!I122,7)</f>
        <v>0</v>
      </c>
      <c r="CY149">
        <f>AA149</f>
        <v>244.92</v>
      </c>
      <c r="CZ149">
        <f>AE149</f>
        <v>176.2</v>
      </c>
      <c r="DA149">
        <f>AI149</f>
        <v>1.39</v>
      </c>
      <c r="DB149">
        <f>ROUND((ROUND(AT149*CZ149,2)*ROUND(0,7)),6)</f>
        <v>0</v>
      </c>
      <c r="DC149">
        <f>ROUND((ROUND(AT149*AG149,2)*ROUND(0,7)),6)</f>
        <v>0</v>
      </c>
      <c r="DD149" t="s">
        <v>3</v>
      </c>
      <c r="DE149" t="s">
        <v>3</v>
      </c>
      <c r="DF149">
        <f>ROUND(ROUND(AE149*AI149,2)*CX149,2)</f>
        <v>0</v>
      </c>
      <c r="DG149">
        <f t="shared" ref="DG149:DG154" si="56">ROUND(ROUND(AF149,2)*CX149,2)</f>
        <v>0</v>
      </c>
      <c r="DH149">
        <f t="shared" si="53"/>
        <v>0</v>
      </c>
      <c r="DI149">
        <f t="shared" si="55"/>
        <v>0</v>
      </c>
      <c r="DJ149">
        <f>DF149</f>
        <v>0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ROW(Source!A122)</f>
        <v>122</v>
      </c>
      <c r="B150">
        <v>65170852</v>
      </c>
      <c r="C150">
        <v>65171357</v>
      </c>
      <c r="D150">
        <v>56654621</v>
      </c>
      <c r="E150">
        <v>1</v>
      </c>
      <c r="F150">
        <v>1</v>
      </c>
      <c r="G150">
        <v>1</v>
      </c>
      <c r="H150">
        <v>3</v>
      </c>
      <c r="I150" t="s">
        <v>673</v>
      </c>
      <c r="J150" t="s">
        <v>674</v>
      </c>
      <c r="K150" t="s">
        <v>675</v>
      </c>
      <c r="L150">
        <v>1371</v>
      </c>
      <c r="N150">
        <v>1013</v>
      </c>
      <c r="O150" t="s">
        <v>220</v>
      </c>
      <c r="P150" t="s">
        <v>220</v>
      </c>
      <c r="Q150">
        <v>1</v>
      </c>
      <c r="W150">
        <v>0</v>
      </c>
      <c r="X150">
        <v>1629219610</v>
      </c>
      <c r="Y150">
        <f>(AT150*ROUND(0,7))</f>
        <v>0</v>
      </c>
      <c r="AA150">
        <v>684.34</v>
      </c>
      <c r="AB150">
        <v>0</v>
      </c>
      <c r="AC150">
        <v>0</v>
      </c>
      <c r="AD150">
        <v>0</v>
      </c>
      <c r="AE150">
        <v>705.5</v>
      </c>
      <c r="AF150">
        <v>0</v>
      </c>
      <c r="AG150">
        <v>0</v>
      </c>
      <c r="AH150">
        <v>0</v>
      </c>
      <c r="AI150">
        <v>0.97</v>
      </c>
      <c r="AJ150">
        <v>1</v>
      </c>
      <c r="AK150">
        <v>1</v>
      </c>
      <c r="AL150">
        <v>1</v>
      </c>
      <c r="AM150">
        <v>2</v>
      </c>
      <c r="AN150">
        <v>0</v>
      </c>
      <c r="AO150">
        <v>0</v>
      </c>
      <c r="AP150">
        <v>1</v>
      </c>
      <c r="AQ150">
        <v>1</v>
      </c>
      <c r="AR150">
        <v>0</v>
      </c>
      <c r="AS150" t="s">
        <v>3</v>
      </c>
      <c r="AT150">
        <v>10</v>
      </c>
      <c r="AU150" t="s">
        <v>97</v>
      </c>
      <c r="AV150">
        <v>0</v>
      </c>
      <c r="AW150">
        <v>2</v>
      </c>
      <c r="AX150">
        <v>65171370</v>
      </c>
      <c r="AY150">
        <v>1</v>
      </c>
      <c r="AZ150">
        <v>0</v>
      </c>
      <c r="BA150">
        <v>145</v>
      </c>
      <c r="BB150">
        <v>1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7055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1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V150">
        <v>0</v>
      </c>
      <c r="CW150">
        <v>0</v>
      </c>
      <c r="CX150">
        <f>ROUND(Y150*Source!I122,7)</f>
        <v>0</v>
      </c>
      <c r="CY150">
        <f>AA150</f>
        <v>684.34</v>
      </c>
      <c r="CZ150">
        <f>AE150</f>
        <v>705.5</v>
      </c>
      <c r="DA150">
        <f>AI150</f>
        <v>0.97</v>
      </c>
      <c r="DB150">
        <f>ROUND((ROUND(AT150*CZ150,2)*ROUND(0,7)),6)</f>
        <v>0</v>
      </c>
      <c r="DC150">
        <f>ROUND((ROUND(AT150*AG150,2)*ROUND(0,7)),6)</f>
        <v>0</v>
      </c>
      <c r="DD150" t="s">
        <v>3</v>
      </c>
      <c r="DE150" t="s">
        <v>3</v>
      </c>
      <c r="DF150">
        <f>ROUND(ROUND(AE150*AI150,2)*CX150,2)</f>
        <v>0</v>
      </c>
      <c r="DG150">
        <f t="shared" si="56"/>
        <v>0</v>
      </c>
      <c r="DH150">
        <f t="shared" si="53"/>
        <v>0</v>
      </c>
      <c r="DI150">
        <f t="shared" si="55"/>
        <v>0</v>
      </c>
      <c r="DJ150">
        <f>DF150</f>
        <v>0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ROW(Source!A122)</f>
        <v>122</v>
      </c>
      <c r="B151">
        <v>65170852</v>
      </c>
      <c r="C151">
        <v>65171357</v>
      </c>
      <c r="D151">
        <v>56223463</v>
      </c>
      <c r="E151">
        <v>108</v>
      </c>
      <c r="F151">
        <v>1</v>
      </c>
      <c r="G151">
        <v>1</v>
      </c>
      <c r="H151">
        <v>3</v>
      </c>
      <c r="I151" t="s">
        <v>667</v>
      </c>
      <c r="J151" t="s">
        <v>3</v>
      </c>
      <c r="K151" t="s">
        <v>668</v>
      </c>
      <c r="L151">
        <v>3277935</v>
      </c>
      <c r="N151">
        <v>1013</v>
      </c>
      <c r="O151" t="s">
        <v>669</v>
      </c>
      <c r="P151" t="s">
        <v>669</v>
      </c>
      <c r="Q151">
        <v>1</v>
      </c>
      <c r="W151">
        <v>0</v>
      </c>
      <c r="X151">
        <v>274903907</v>
      </c>
      <c r="Y151">
        <f>AT151</f>
        <v>2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0</v>
      </c>
      <c r="AP151">
        <v>0</v>
      </c>
      <c r="AQ151">
        <v>1</v>
      </c>
      <c r="AR151">
        <v>0</v>
      </c>
      <c r="AS151" t="s">
        <v>3</v>
      </c>
      <c r="AT151">
        <v>2</v>
      </c>
      <c r="AU151" t="s">
        <v>3</v>
      </c>
      <c r="AV151">
        <v>0</v>
      </c>
      <c r="AW151">
        <v>2</v>
      </c>
      <c r="AX151">
        <v>65171371</v>
      </c>
      <c r="AY151">
        <v>1</v>
      </c>
      <c r="AZ151">
        <v>2048</v>
      </c>
      <c r="BA151">
        <v>146</v>
      </c>
      <c r="BB151">
        <v>1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V151">
        <v>0</v>
      </c>
      <c r="CW151">
        <v>0</v>
      </c>
      <c r="CX151">
        <f>ROUND(Y151*Source!I122,7)</f>
        <v>2</v>
      </c>
      <c r="CY151">
        <f>AA151</f>
        <v>0</v>
      </c>
      <c r="CZ151">
        <f>AE151</f>
        <v>0</v>
      </c>
      <c r="DA151">
        <f>AI151</f>
        <v>1</v>
      </c>
      <c r="DB151">
        <f>ROUND(ROUND(AT151*CZ151,2),6)</f>
        <v>0</v>
      </c>
      <c r="DC151">
        <f>ROUND(ROUND(AT151*AG151,2),6)</f>
        <v>0</v>
      </c>
      <c r="DD151" t="s">
        <v>3</v>
      </c>
      <c r="DE151" t="s">
        <v>3</v>
      </c>
      <c r="DF151">
        <f>ROUND(ROUND(AE151,2)*CX151,2)</f>
        <v>0</v>
      </c>
      <c r="DG151">
        <f t="shared" si="56"/>
        <v>0</v>
      </c>
      <c r="DH151">
        <f t="shared" si="53"/>
        <v>0</v>
      </c>
      <c r="DI151">
        <f t="shared" si="55"/>
        <v>0</v>
      </c>
      <c r="DJ151">
        <f>DF151</f>
        <v>0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ROW(Source!A123)</f>
        <v>123</v>
      </c>
      <c r="B152">
        <v>65170852</v>
      </c>
      <c r="C152">
        <v>65171372</v>
      </c>
      <c r="D152">
        <v>37075528</v>
      </c>
      <c r="E152">
        <v>108</v>
      </c>
      <c r="F152">
        <v>1</v>
      </c>
      <c r="G152">
        <v>1</v>
      </c>
      <c r="H152">
        <v>1</v>
      </c>
      <c r="I152" t="s">
        <v>676</v>
      </c>
      <c r="J152" t="s">
        <v>3</v>
      </c>
      <c r="K152" t="s">
        <v>677</v>
      </c>
      <c r="L152">
        <v>1191</v>
      </c>
      <c r="N152">
        <v>1013</v>
      </c>
      <c r="O152" t="s">
        <v>509</v>
      </c>
      <c r="P152" t="s">
        <v>509</v>
      </c>
      <c r="Q152">
        <v>1</v>
      </c>
      <c r="W152">
        <v>0</v>
      </c>
      <c r="X152">
        <v>-1841613679</v>
      </c>
      <c r="Y152">
        <f>(AT152*ROUND(0.3,7))</f>
        <v>2.226</v>
      </c>
      <c r="AA152">
        <v>0</v>
      </c>
      <c r="AB152">
        <v>0</v>
      </c>
      <c r="AC152">
        <v>0</v>
      </c>
      <c r="AD152">
        <v>512.51</v>
      </c>
      <c r="AE152">
        <v>0</v>
      </c>
      <c r="AF152">
        <v>0</v>
      </c>
      <c r="AG152">
        <v>0</v>
      </c>
      <c r="AH152">
        <v>512.51</v>
      </c>
      <c r="AI152">
        <v>1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0</v>
      </c>
      <c r="AP152">
        <v>1</v>
      </c>
      <c r="AQ152">
        <v>1</v>
      </c>
      <c r="AR152">
        <v>0</v>
      </c>
      <c r="AS152" t="s">
        <v>3</v>
      </c>
      <c r="AT152">
        <v>7.42</v>
      </c>
      <c r="AU152" t="s">
        <v>223</v>
      </c>
      <c r="AV152">
        <v>1</v>
      </c>
      <c r="AW152">
        <v>2</v>
      </c>
      <c r="AX152">
        <v>65171388</v>
      </c>
      <c r="AY152">
        <v>1</v>
      </c>
      <c r="AZ152">
        <v>0</v>
      </c>
      <c r="BA152">
        <v>147</v>
      </c>
      <c r="BB152">
        <v>1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3802.8242</v>
      </c>
      <c r="BN152">
        <v>7.42</v>
      </c>
      <c r="BO152">
        <v>0</v>
      </c>
      <c r="BP152">
        <v>1</v>
      </c>
      <c r="BQ152">
        <v>0</v>
      </c>
      <c r="BR152">
        <v>0</v>
      </c>
      <c r="BS152">
        <v>0</v>
      </c>
      <c r="BT152">
        <v>1140.84726</v>
      </c>
      <c r="BU152">
        <v>2.226</v>
      </c>
      <c r="BV152">
        <v>0</v>
      </c>
      <c r="BW152">
        <v>1</v>
      </c>
      <c r="CU152">
        <f>ROUND(AT152*Source!I123*AH152*AL152,2)</f>
        <v>3802.82</v>
      </c>
      <c r="CV152">
        <f>ROUND(Y152*Source!I123,7)</f>
        <v>2.226</v>
      </c>
      <c r="CW152">
        <v>0</v>
      </c>
      <c r="CX152">
        <f>ROUND(Y152*Source!I123,7)</f>
        <v>2.226</v>
      </c>
      <c r="CY152">
        <f>AD152</f>
        <v>512.51</v>
      </c>
      <c r="CZ152">
        <f>AH152</f>
        <v>512.51</v>
      </c>
      <c r="DA152">
        <f>AL152</f>
        <v>1</v>
      </c>
      <c r="DB152">
        <f>ROUND((ROUND(AT152*CZ152,2)*ROUND(0.3,7)),6)</f>
        <v>1140.846</v>
      </c>
      <c r="DC152">
        <f>ROUND((ROUND(AT152*AG152,2)*ROUND(0.3,7)),6)</f>
        <v>0</v>
      </c>
      <c r="DD152" t="s">
        <v>3</v>
      </c>
      <c r="DE152" t="s">
        <v>3</v>
      </c>
      <c r="DF152">
        <f>ROUND(ROUND(AE152,2)*CX152,2)</f>
        <v>0</v>
      </c>
      <c r="DG152">
        <f t="shared" si="56"/>
        <v>0</v>
      </c>
      <c r="DH152">
        <f t="shared" si="53"/>
        <v>0</v>
      </c>
      <c r="DI152">
        <f t="shared" si="55"/>
        <v>1140.8499999999999</v>
      </c>
      <c r="DJ152">
        <f>DI152</f>
        <v>1140.8499999999999</v>
      </c>
      <c r="DK152">
        <v>1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ROW(Source!A123)</f>
        <v>123</v>
      </c>
      <c r="B153">
        <v>65170852</v>
      </c>
      <c r="C153">
        <v>65171372</v>
      </c>
      <c r="D153">
        <v>37064876</v>
      </c>
      <c r="E153">
        <v>108</v>
      </c>
      <c r="F153">
        <v>1</v>
      </c>
      <c r="G153">
        <v>1</v>
      </c>
      <c r="H153">
        <v>1</v>
      </c>
      <c r="I153" t="s">
        <v>510</v>
      </c>
      <c r="J153" t="s">
        <v>3</v>
      </c>
      <c r="K153" t="s">
        <v>511</v>
      </c>
      <c r="L153">
        <v>1191</v>
      </c>
      <c r="N153">
        <v>1013</v>
      </c>
      <c r="O153" t="s">
        <v>509</v>
      </c>
      <c r="P153" t="s">
        <v>509</v>
      </c>
      <c r="Q153">
        <v>1</v>
      </c>
      <c r="W153">
        <v>0</v>
      </c>
      <c r="X153">
        <v>-1417349443</v>
      </c>
      <c r="Y153">
        <f>(AT153*ROUND(0.3,7))</f>
        <v>0.30599999999999999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-2</v>
      </c>
      <c r="AN153">
        <v>0</v>
      </c>
      <c r="AO153">
        <v>0</v>
      </c>
      <c r="AP153">
        <v>1</v>
      </c>
      <c r="AQ153">
        <v>1</v>
      </c>
      <c r="AR153">
        <v>0</v>
      </c>
      <c r="AS153" t="s">
        <v>3</v>
      </c>
      <c r="AT153">
        <v>1.02</v>
      </c>
      <c r="AU153" t="s">
        <v>223</v>
      </c>
      <c r="AV153">
        <v>2</v>
      </c>
      <c r="AW153">
        <v>2</v>
      </c>
      <c r="AX153">
        <v>65171389</v>
      </c>
      <c r="AY153">
        <v>1</v>
      </c>
      <c r="AZ153">
        <v>0</v>
      </c>
      <c r="BA153">
        <v>148</v>
      </c>
      <c r="BB153">
        <v>1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V153">
        <v>0</v>
      </c>
      <c r="CW153">
        <v>0</v>
      </c>
      <c r="CX153">
        <f>ROUND(Y153*Source!I123,7)</f>
        <v>0.30599999999999999</v>
      </c>
      <c r="CY153">
        <f>AD153</f>
        <v>0</v>
      </c>
      <c r="CZ153">
        <f>AH153</f>
        <v>0</v>
      </c>
      <c r="DA153">
        <f>AL153</f>
        <v>1</v>
      </c>
      <c r="DB153">
        <f>ROUND((ROUND(AT153*CZ153,2)*ROUND(0.3,7)),6)</f>
        <v>0</v>
      </c>
      <c r="DC153">
        <f>ROUND((ROUND(AT153*AG153,2)*ROUND(0.3,7)),6)</f>
        <v>0</v>
      </c>
      <c r="DD153" t="s">
        <v>3</v>
      </c>
      <c r="DE153" t="s">
        <v>3</v>
      </c>
      <c r="DF153">
        <f>ROUND(ROUND(AE153,2)*CX153,2)</f>
        <v>0</v>
      </c>
      <c r="DG153">
        <f t="shared" si="56"/>
        <v>0</v>
      </c>
      <c r="DH153">
        <f t="shared" si="53"/>
        <v>0</v>
      </c>
      <c r="DI153">
        <f t="shared" si="55"/>
        <v>0</v>
      </c>
      <c r="DJ153">
        <f>DI153</f>
        <v>0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ROW(Source!A123)</f>
        <v>123</v>
      </c>
      <c r="B154">
        <v>65170852</v>
      </c>
      <c r="C154">
        <v>65171372</v>
      </c>
      <c r="D154">
        <v>56571417</v>
      </c>
      <c r="E154">
        <v>1</v>
      </c>
      <c r="F154">
        <v>1</v>
      </c>
      <c r="G154">
        <v>1</v>
      </c>
      <c r="H154">
        <v>2</v>
      </c>
      <c r="I154" t="s">
        <v>512</v>
      </c>
      <c r="J154" t="s">
        <v>513</v>
      </c>
      <c r="K154" t="s">
        <v>514</v>
      </c>
      <c r="L154">
        <v>1368</v>
      </c>
      <c r="N154">
        <v>1011</v>
      </c>
      <c r="O154" t="s">
        <v>515</v>
      </c>
      <c r="P154" t="s">
        <v>515</v>
      </c>
      <c r="Q154">
        <v>1</v>
      </c>
      <c r="W154">
        <v>0</v>
      </c>
      <c r="X154">
        <v>-848025172</v>
      </c>
      <c r="Y154">
        <f>(AT154*ROUND(0.3,7))</f>
        <v>0.183</v>
      </c>
      <c r="AA154">
        <v>0</v>
      </c>
      <c r="AB154">
        <v>1551.19</v>
      </c>
      <c r="AC154">
        <v>658.94</v>
      </c>
      <c r="AD154">
        <v>0</v>
      </c>
      <c r="AE154">
        <v>0</v>
      </c>
      <c r="AF154">
        <v>1551.19</v>
      </c>
      <c r="AG154">
        <v>658.94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0</v>
      </c>
      <c r="AP154">
        <v>1</v>
      </c>
      <c r="AQ154">
        <v>1</v>
      </c>
      <c r="AR154">
        <v>0</v>
      </c>
      <c r="AS154" t="s">
        <v>3</v>
      </c>
      <c r="AT154">
        <v>0.61</v>
      </c>
      <c r="AU154" t="s">
        <v>223</v>
      </c>
      <c r="AV154">
        <v>1</v>
      </c>
      <c r="AW154">
        <v>2</v>
      </c>
      <c r="AX154">
        <v>65171390</v>
      </c>
      <c r="AY154">
        <v>1</v>
      </c>
      <c r="AZ154">
        <v>0</v>
      </c>
      <c r="BA154">
        <v>149</v>
      </c>
      <c r="BB154">
        <v>1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946.22590000000002</v>
      </c>
      <c r="BL154">
        <v>401.95340000000004</v>
      </c>
      <c r="BM154">
        <v>0</v>
      </c>
      <c r="BN154">
        <v>0</v>
      </c>
      <c r="BO154">
        <v>0.61</v>
      </c>
      <c r="BP154">
        <v>1</v>
      </c>
      <c r="BQ154">
        <v>0</v>
      </c>
      <c r="BR154">
        <v>283.86777000000001</v>
      </c>
      <c r="BS154">
        <v>120.58602</v>
      </c>
      <c r="BT154">
        <v>0</v>
      </c>
      <c r="BU154">
        <v>0</v>
      </c>
      <c r="BV154">
        <v>0.183</v>
      </c>
      <c r="BW154">
        <v>1</v>
      </c>
      <c r="CV154">
        <v>0</v>
      </c>
      <c r="CW154">
        <f>ROUND(Y154*Source!I123*DO154,7)</f>
        <v>0.183</v>
      </c>
      <c r="CX154">
        <f>ROUND(Y154*Source!I123,7)</f>
        <v>0.183</v>
      </c>
      <c r="CY154">
        <f>AB154</f>
        <v>1551.19</v>
      </c>
      <c r="CZ154">
        <f>AF154</f>
        <v>1551.19</v>
      </c>
      <c r="DA154">
        <f>AJ154</f>
        <v>1</v>
      </c>
      <c r="DB154">
        <f>ROUND((ROUND(AT154*CZ154,2)*ROUND(0.3,7)),6)</f>
        <v>283.86900000000003</v>
      </c>
      <c r="DC154">
        <f>ROUND((ROUND(AT154*AG154,2)*ROUND(0.3,7)),6)</f>
        <v>120.58499999999999</v>
      </c>
      <c r="DD154" t="s">
        <v>3</v>
      </c>
      <c r="DE154" t="s">
        <v>3</v>
      </c>
      <c r="DF154">
        <f>ROUND(ROUND(AE154,2)*CX154,2)</f>
        <v>0</v>
      </c>
      <c r="DG154">
        <f t="shared" si="56"/>
        <v>283.87</v>
      </c>
      <c r="DH154">
        <f t="shared" si="53"/>
        <v>120.59</v>
      </c>
      <c r="DI154">
        <f t="shared" si="55"/>
        <v>0</v>
      </c>
      <c r="DJ154">
        <f>DG154+DH154</f>
        <v>404.46000000000004</v>
      </c>
      <c r="DK154">
        <v>1</v>
      </c>
      <c r="DL154" t="s">
        <v>516</v>
      </c>
      <c r="DM154">
        <v>6</v>
      </c>
      <c r="DN154" t="s">
        <v>509</v>
      </c>
      <c r="DO154">
        <v>1</v>
      </c>
    </row>
    <row r="155" spans="1:119" x14ac:dyDescent="0.2">
      <c r="A155">
        <f>ROW(Source!A123)</f>
        <v>123</v>
      </c>
      <c r="B155">
        <v>65170852</v>
      </c>
      <c r="C155">
        <v>65171372</v>
      </c>
      <c r="D155">
        <v>56572833</v>
      </c>
      <c r="E155">
        <v>1</v>
      </c>
      <c r="F155">
        <v>1</v>
      </c>
      <c r="G155">
        <v>1</v>
      </c>
      <c r="H155">
        <v>2</v>
      </c>
      <c r="I155" t="s">
        <v>520</v>
      </c>
      <c r="J155" t="s">
        <v>521</v>
      </c>
      <c r="K155" t="s">
        <v>522</v>
      </c>
      <c r="L155">
        <v>1368</v>
      </c>
      <c r="N155">
        <v>1011</v>
      </c>
      <c r="O155" t="s">
        <v>515</v>
      </c>
      <c r="P155" t="s">
        <v>515</v>
      </c>
      <c r="Q155">
        <v>1</v>
      </c>
      <c r="W155">
        <v>0</v>
      </c>
      <c r="X155">
        <v>1230426758</v>
      </c>
      <c r="Y155">
        <f>(AT155*ROUND(0.3,7))</f>
        <v>0.12299999999999998</v>
      </c>
      <c r="AA155">
        <v>0</v>
      </c>
      <c r="AB155">
        <v>578.28</v>
      </c>
      <c r="AC155">
        <v>490.55</v>
      </c>
      <c r="AD155">
        <v>0</v>
      </c>
      <c r="AE155">
        <v>0</v>
      </c>
      <c r="AF155">
        <v>477.92</v>
      </c>
      <c r="AG155">
        <v>490.55</v>
      </c>
      <c r="AH155">
        <v>0</v>
      </c>
      <c r="AI155">
        <v>1</v>
      </c>
      <c r="AJ155">
        <v>1.21</v>
      </c>
      <c r="AK155">
        <v>1</v>
      </c>
      <c r="AL155">
        <v>1</v>
      </c>
      <c r="AM155">
        <v>2</v>
      </c>
      <c r="AN155">
        <v>0</v>
      </c>
      <c r="AO155">
        <v>0</v>
      </c>
      <c r="AP155">
        <v>1</v>
      </c>
      <c r="AQ155">
        <v>1</v>
      </c>
      <c r="AR155">
        <v>0</v>
      </c>
      <c r="AS155" t="s">
        <v>3</v>
      </c>
      <c r="AT155">
        <v>0.41</v>
      </c>
      <c r="AU155" t="s">
        <v>223</v>
      </c>
      <c r="AV155">
        <v>1</v>
      </c>
      <c r="AW155">
        <v>2</v>
      </c>
      <c r="AX155">
        <v>65171391</v>
      </c>
      <c r="AY155">
        <v>1</v>
      </c>
      <c r="AZ155">
        <v>0</v>
      </c>
      <c r="BA155">
        <v>150</v>
      </c>
      <c r="BB155">
        <v>1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195.94719999999998</v>
      </c>
      <c r="BL155">
        <v>201.12549999999999</v>
      </c>
      <c r="BM155">
        <v>0</v>
      </c>
      <c r="BN155">
        <v>0</v>
      </c>
      <c r="BO155">
        <v>0.41</v>
      </c>
      <c r="BP155">
        <v>1</v>
      </c>
      <c r="BQ155">
        <v>0</v>
      </c>
      <c r="BR155">
        <v>58.784159999999993</v>
      </c>
      <c r="BS155">
        <v>60.337649999999996</v>
      </c>
      <c r="BT155">
        <v>0</v>
      </c>
      <c r="BU155">
        <v>0</v>
      </c>
      <c r="BV155">
        <v>0.12299999999999998</v>
      </c>
      <c r="BW155">
        <v>1</v>
      </c>
      <c r="CV155">
        <v>0</v>
      </c>
      <c r="CW155">
        <f>ROUND(Y155*Source!I123*DO155,7)</f>
        <v>0.123</v>
      </c>
      <c r="CX155">
        <f>ROUND(Y155*Source!I123,7)</f>
        <v>0.123</v>
      </c>
      <c r="CY155">
        <f>AB155</f>
        <v>578.28</v>
      </c>
      <c r="CZ155">
        <f>AF155</f>
        <v>477.92</v>
      </c>
      <c r="DA155">
        <f>AJ155</f>
        <v>1.21</v>
      </c>
      <c r="DB155">
        <f>ROUND((ROUND(AT155*CZ155,2)*ROUND(0.3,7)),6)</f>
        <v>58.784999999999997</v>
      </c>
      <c r="DC155">
        <f>ROUND((ROUND(AT155*AG155,2)*ROUND(0.3,7)),6)</f>
        <v>60.338999999999999</v>
      </c>
      <c r="DD155" t="s">
        <v>3</v>
      </c>
      <c r="DE155" t="s">
        <v>3</v>
      </c>
      <c r="DF155">
        <f>ROUND(ROUND(AE155,2)*CX155,2)</f>
        <v>0</v>
      </c>
      <c r="DG155">
        <f>ROUND(ROUND(AF155*AJ155,2)*CX155,2)</f>
        <v>71.13</v>
      </c>
      <c r="DH155">
        <f t="shared" si="53"/>
        <v>60.34</v>
      </c>
      <c r="DI155">
        <f t="shared" si="55"/>
        <v>0</v>
      </c>
      <c r="DJ155">
        <f>DG155+DH155</f>
        <v>131.47</v>
      </c>
      <c r="DK155">
        <v>0</v>
      </c>
      <c r="DL155" t="s">
        <v>523</v>
      </c>
      <c r="DM155">
        <v>4</v>
      </c>
      <c r="DN155" t="s">
        <v>509</v>
      </c>
      <c r="DO155">
        <v>1</v>
      </c>
    </row>
    <row r="156" spans="1:119" x14ac:dyDescent="0.2">
      <c r="A156">
        <f>ROW(Source!A123)</f>
        <v>123</v>
      </c>
      <c r="B156">
        <v>65170852</v>
      </c>
      <c r="C156">
        <v>65171372</v>
      </c>
      <c r="D156">
        <v>56574842</v>
      </c>
      <c r="E156">
        <v>1</v>
      </c>
      <c r="F156">
        <v>1</v>
      </c>
      <c r="G156">
        <v>1</v>
      </c>
      <c r="H156">
        <v>3</v>
      </c>
      <c r="I156" t="s">
        <v>678</v>
      </c>
      <c r="J156" t="s">
        <v>679</v>
      </c>
      <c r="K156" t="s">
        <v>680</v>
      </c>
      <c r="L156">
        <v>1346</v>
      </c>
      <c r="N156">
        <v>1009</v>
      </c>
      <c r="O156" t="s">
        <v>549</v>
      </c>
      <c r="P156" t="s">
        <v>549</v>
      </c>
      <c r="Q156">
        <v>1</v>
      </c>
      <c r="W156">
        <v>0</v>
      </c>
      <c r="X156">
        <v>-306422680</v>
      </c>
      <c r="Y156">
        <f t="shared" ref="Y156:Y166" si="57">(AT156*ROUND(0,7))</f>
        <v>0</v>
      </c>
      <c r="AA156">
        <v>421.77</v>
      </c>
      <c r="AB156">
        <v>0</v>
      </c>
      <c r="AC156">
        <v>0</v>
      </c>
      <c r="AD156">
        <v>0</v>
      </c>
      <c r="AE156">
        <v>238.29</v>
      </c>
      <c r="AF156">
        <v>0</v>
      </c>
      <c r="AG156">
        <v>0</v>
      </c>
      <c r="AH156">
        <v>0</v>
      </c>
      <c r="AI156">
        <v>1.77</v>
      </c>
      <c r="AJ156">
        <v>1</v>
      </c>
      <c r="AK156">
        <v>1</v>
      </c>
      <c r="AL156">
        <v>1</v>
      </c>
      <c r="AM156">
        <v>2</v>
      </c>
      <c r="AN156">
        <v>0</v>
      </c>
      <c r="AO156">
        <v>0</v>
      </c>
      <c r="AP156">
        <v>1</v>
      </c>
      <c r="AQ156">
        <v>1</v>
      </c>
      <c r="AR156">
        <v>0</v>
      </c>
      <c r="AS156" t="s">
        <v>3</v>
      </c>
      <c r="AT156">
        <v>0.01</v>
      </c>
      <c r="AU156" t="s">
        <v>97</v>
      </c>
      <c r="AV156">
        <v>0</v>
      </c>
      <c r="AW156">
        <v>2</v>
      </c>
      <c r="AX156">
        <v>65171392</v>
      </c>
      <c r="AY156">
        <v>1</v>
      </c>
      <c r="AZ156">
        <v>0</v>
      </c>
      <c r="BA156">
        <v>151</v>
      </c>
      <c r="BB156">
        <v>1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2.3828999999999998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1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ROUND(Y156*Source!I123,7)</f>
        <v>0</v>
      </c>
      <c r="CY156">
        <f t="shared" ref="CY156:CY166" si="58">AA156</f>
        <v>421.77</v>
      </c>
      <c r="CZ156">
        <f t="shared" ref="CZ156:CZ166" si="59">AE156</f>
        <v>238.29</v>
      </c>
      <c r="DA156">
        <f t="shared" ref="DA156:DA166" si="60">AI156</f>
        <v>1.77</v>
      </c>
      <c r="DB156">
        <f t="shared" ref="DB156:DB166" si="61">ROUND((ROUND(AT156*CZ156,2)*ROUND(0,7)),6)</f>
        <v>0</v>
      </c>
      <c r="DC156">
        <f t="shared" ref="DC156:DC166" si="62">ROUND((ROUND(AT156*AG156,2)*ROUND(0,7)),6)</f>
        <v>0</v>
      </c>
      <c r="DD156" t="s">
        <v>3</v>
      </c>
      <c r="DE156" t="s">
        <v>3</v>
      </c>
      <c r="DF156">
        <f>ROUND(ROUND(AE156*AI156,2)*CX156,2)</f>
        <v>0</v>
      </c>
      <c r="DG156">
        <f t="shared" ref="DG156:DG173" si="63">ROUND(ROUND(AF156,2)*CX156,2)</f>
        <v>0</v>
      </c>
      <c r="DH156">
        <f t="shared" si="53"/>
        <v>0</v>
      </c>
      <c r="DI156">
        <f t="shared" si="55"/>
        <v>0</v>
      </c>
      <c r="DJ156">
        <f t="shared" ref="DJ156:DJ166" si="64">DF156</f>
        <v>0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ROW(Source!A123)</f>
        <v>123</v>
      </c>
      <c r="B157">
        <v>65170852</v>
      </c>
      <c r="C157">
        <v>65171372</v>
      </c>
      <c r="D157">
        <v>56574852</v>
      </c>
      <c r="E157">
        <v>1</v>
      </c>
      <c r="F157">
        <v>1</v>
      </c>
      <c r="G157">
        <v>1</v>
      </c>
      <c r="H157">
        <v>3</v>
      </c>
      <c r="I157" t="s">
        <v>681</v>
      </c>
      <c r="J157" t="s">
        <v>682</v>
      </c>
      <c r="K157" t="s">
        <v>683</v>
      </c>
      <c r="L157">
        <v>1346</v>
      </c>
      <c r="N157">
        <v>1009</v>
      </c>
      <c r="O157" t="s">
        <v>549</v>
      </c>
      <c r="P157" t="s">
        <v>549</v>
      </c>
      <c r="Q157">
        <v>1</v>
      </c>
      <c r="W157">
        <v>0</v>
      </c>
      <c r="X157">
        <v>-448438601</v>
      </c>
      <c r="Y157">
        <f t="shared" si="57"/>
        <v>0</v>
      </c>
      <c r="AA157">
        <v>141.63999999999999</v>
      </c>
      <c r="AB157">
        <v>0</v>
      </c>
      <c r="AC157">
        <v>0</v>
      </c>
      <c r="AD157">
        <v>0</v>
      </c>
      <c r="AE157">
        <v>80.02</v>
      </c>
      <c r="AF157">
        <v>0</v>
      </c>
      <c r="AG157">
        <v>0</v>
      </c>
      <c r="AH157">
        <v>0</v>
      </c>
      <c r="AI157">
        <v>1.77</v>
      </c>
      <c r="AJ157">
        <v>1</v>
      </c>
      <c r="AK157">
        <v>1</v>
      </c>
      <c r="AL157">
        <v>1</v>
      </c>
      <c r="AM157">
        <v>2</v>
      </c>
      <c r="AN157">
        <v>0</v>
      </c>
      <c r="AO157">
        <v>0</v>
      </c>
      <c r="AP157">
        <v>1</v>
      </c>
      <c r="AQ157">
        <v>1</v>
      </c>
      <c r="AR157">
        <v>0</v>
      </c>
      <c r="AS157" t="s">
        <v>3</v>
      </c>
      <c r="AT157">
        <v>0.03</v>
      </c>
      <c r="AU157" t="s">
        <v>97</v>
      </c>
      <c r="AV157">
        <v>0</v>
      </c>
      <c r="AW157">
        <v>2</v>
      </c>
      <c r="AX157">
        <v>65171393</v>
      </c>
      <c r="AY157">
        <v>1</v>
      </c>
      <c r="AZ157">
        <v>0</v>
      </c>
      <c r="BA157">
        <v>152</v>
      </c>
      <c r="BB157">
        <v>1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2.4005999999999998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1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V157">
        <v>0</v>
      </c>
      <c r="CW157">
        <v>0</v>
      </c>
      <c r="CX157">
        <f>ROUND(Y157*Source!I123,7)</f>
        <v>0</v>
      </c>
      <c r="CY157">
        <f t="shared" si="58"/>
        <v>141.63999999999999</v>
      </c>
      <c r="CZ157">
        <f t="shared" si="59"/>
        <v>80.02</v>
      </c>
      <c r="DA157">
        <f t="shared" si="60"/>
        <v>1.77</v>
      </c>
      <c r="DB157">
        <f t="shared" si="61"/>
        <v>0</v>
      </c>
      <c r="DC157">
        <f t="shared" si="62"/>
        <v>0</v>
      </c>
      <c r="DD157" t="s">
        <v>3</v>
      </c>
      <c r="DE157" t="s">
        <v>3</v>
      </c>
      <c r="DF157">
        <f>ROUND(ROUND(AE157*AI157,2)*CX157,2)</f>
        <v>0</v>
      </c>
      <c r="DG157">
        <f t="shared" si="63"/>
        <v>0</v>
      </c>
      <c r="DH157">
        <f t="shared" si="53"/>
        <v>0</v>
      </c>
      <c r="DI157">
        <f t="shared" si="55"/>
        <v>0</v>
      </c>
      <c r="DJ157">
        <f t="shared" si="64"/>
        <v>0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ROW(Source!A123)</f>
        <v>123</v>
      </c>
      <c r="B158">
        <v>65170852</v>
      </c>
      <c r="C158">
        <v>65171372</v>
      </c>
      <c r="D158">
        <v>56580368</v>
      </c>
      <c r="E158">
        <v>1</v>
      </c>
      <c r="F158">
        <v>1</v>
      </c>
      <c r="G158">
        <v>1</v>
      </c>
      <c r="H158">
        <v>3</v>
      </c>
      <c r="I158" t="s">
        <v>553</v>
      </c>
      <c r="J158" t="s">
        <v>554</v>
      </c>
      <c r="K158" t="s">
        <v>555</v>
      </c>
      <c r="L158">
        <v>1346</v>
      </c>
      <c r="N158">
        <v>1009</v>
      </c>
      <c r="O158" t="s">
        <v>549</v>
      </c>
      <c r="P158" t="s">
        <v>549</v>
      </c>
      <c r="Q158">
        <v>1</v>
      </c>
      <c r="W158">
        <v>0</v>
      </c>
      <c r="X158">
        <v>-385218612</v>
      </c>
      <c r="Y158">
        <f t="shared" si="57"/>
        <v>0</v>
      </c>
      <c r="AA158">
        <v>201.17</v>
      </c>
      <c r="AB158">
        <v>0</v>
      </c>
      <c r="AC158">
        <v>0</v>
      </c>
      <c r="AD158">
        <v>0</v>
      </c>
      <c r="AE158">
        <v>174.93</v>
      </c>
      <c r="AF158">
        <v>0</v>
      </c>
      <c r="AG158">
        <v>0</v>
      </c>
      <c r="AH158">
        <v>0</v>
      </c>
      <c r="AI158">
        <v>1.1499999999999999</v>
      </c>
      <c r="AJ158">
        <v>1</v>
      </c>
      <c r="AK158">
        <v>1</v>
      </c>
      <c r="AL158">
        <v>1</v>
      </c>
      <c r="AM158">
        <v>2</v>
      </c>
      <c r="AN158">
        <v>1</v>
      </c>
      <c r="AO158">
        <v>0</v>
      </c>
      <c r="AP158">
        <v>1</v>
      </c>
      <c r="AQ158">
        <v>1</v>
      </c>
      <c r="AR158">
        <v>0</v>
      </c>
      <c r="AS158" t="s">
        <v>3</v>
      </c>
      <c r="AT158">
        <v>0</v>
      </c>
      <c r="AU158" t="s">
        <v>97</v>
      </c>
      <c r="AV158">
        <v>0</v>
      </c>
      <c r="AW158">
        <v>2</v>
      </c>
      <c r="AX158">
        <v>65171394</v>
      </c>
      <c r="AY158">
        <v>1</v>
      </c>
      <c r="AZ158">
        <v>0</v>
      </c>
      <c r="BA158">
        <v>153</v>
      </c>
      <c r="BB158">
        <v>1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V158">
        <v>0</v>
      </c>
      <c r="CW158">
        <v>0</v>
      </c>
      <c r="CX158">
        <f>ROUND(Y158*Source!I123,7)</f>
        <v>0</v>
      </c>
      <c r="CY158">
        <f t="shared" si="58"/>
        <v>201.17</v>
      </c>
      <c r="CZ158">
        <f t="shared" si="59"/>
        <v>174.93</v>
      </c>
      <c r="DA158">
        <f t="shared" si="60"/>
        <v>1.1499999999999999</v>
      </c>
      <c r="DB158">
        <f t="shared" si="61"/>
        <v>0</v>
      </c>
      <c r="DC158">
        <f t="shared" si="62"/>
        <v>0</v>
      </c>
      <c r="DD158" t="s">
        <v>3</v>
      </c>
      <c r="DE158" t="s">
        <v>3</v>
      </c>
      <c r="DF158">
        <f>ROUND(ROUND(AE158*AI158,2)*CX158,2)</f>
        <v>0</v>
      </c>
      <c r="DG158">
        <f t="shared" si="63"/>
        <v>0</v>
      </c>
      <c r="DH158">
        <f t="shared" si="53"/>
        <v>0</v>
      </c>
      <c r="DI158">
        <f t="shared" si="55"/>
        <v>0</v>
      </c>
      <c r="DJ158">
        <f t="shared" si="64"/>
        <v>0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ROW(Source!A123)</f>
        <v>123</v>
      </c>
      <c r="B159">
        <v>65170852</v>
      </c>
      <c r="C159">
        <v>65171372</v>
      </c>
      <c r="D159">
        <v>56582407</v>
      </c>
      <c r="E159">
        <v>1</v>
      </c>
      <c r="F159">
        <v>1</v>
      </c>
      <c r="G159">
        <v>1</v>
      </c>
      <c r="H159">
        <v>3</v>
      </c>
      <c r="I159" t="s">
        <v>625</v>
      </c>
      <c r="J159" t="s">
        <v>626</v>
      </c>
      <c r="K159" t="s">
        <v>627</v>
      </c>
      <c r="L159">
        <v>1346</v>
      </c>
      <c r="N159">
        <v>1009</v>
      </c>
      <c r="O159" t="s">
        <v>549</v>
      </c>
      <c r="P159" t="s">
        <v>549</v>
      </c>
      <c r="Q159">
        <v>1</v>
      </c>
      <c r="W159">
        <v>0</v>
      </c>
      <c r="X159">
        <v>-529816839</v>
      </c>
      <c r="Y159">
        <f t="shared" si="57"/>
        <v>0</v>
      </c>
      <c r="AA159">
        <v>77.989999999999995</v>
      </c>
      <c r="AB159">
        <v>0</v>
      </c>
      <c r="AC159">
        <v>0</v>
      </c>
      <c r="AD159">
        <v>0</v>
      </c>
      <c r="AE159">
        <v>56.11</v>
      </c>
      <c r="AF159">
        <v>0</v>
      </c>
      <c r="AG159">
        <v>0</v>
      </c>
      <c r="AH159">
        <v>0</v>
      </c>
      <c r="AI159">
        <v>1.39</v>
      </c>
      <c r="AJ159">
        <v>1</v>
      </c>
      <c r="AK159">
        <v>1</v>
      </c>
      <c r="AL159">
        <v>1</v>
      </c>
      <c r="AM159">
        <v>2</v>
      </c>
      <c r="AN159">
        <v>0</v>
      </c>
      <c r="AO159">
        <v>0</v>
      </c>
      <c r="AP159">
        <v>1</v>
      </c>
      <c r="AQ159">
        <v>1</v>
      </c>
      <c r="AR159">
        <v>0</v>
      </c>
      <c r="AS159" t="s">
        <v>3</v>
      </c>
      <c r="AT159">
        <v>0.02</v>
      </c>
      <c r="AU159" t="s">
        <v>97</v>
      </c>
      <c r="AV159">
        <v>0</v>
      </c>
      <c r="AW159">
        <v>2</v>
      </c>
      <c r="AX159">
        <v>65171395</v>
      </c>
      <c r="AY159">
        <v>1</v>
      </c>
      <c r="AZ159">
        <v>0</v>
      </c>
      <c r="BA159">
        <v>154</v>
      </c>
      <c r="BB159">
        <v>1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1.1222000000000001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1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v>0</v>
      </c>
      <c r="CX159">
        <f>ROUND(Y159*Source!I123,7)</f>
        <v>0</v>
      </c>
      <c r="CY159">
        <f t="shared" si="58"/>
        <v>77.989999999999995</v>
      </c>
      <c r="CZ159">
        <f t="shared" si="59"/>
        <v>56.11</v>
      </c>
      <c r="DA159">
        <f t="shared" si="60"/>
        <v>1.39</v>
      </c>
      <c r="DB159">
        <f t="shared" si="61"/>
        <v>0</v>
      </c>
      <c r="DC159">
        <f t="shared" si="62"/>
        <v>0</v>
      </c>
      <c r="DD159" t="s">
        <v>3</v>
      </c>
      <c r="DE159" t="s">
        <v>3</v>
      </c>
      <c r="DF159">
        <f>ROUND(ROUND(AE159*AI159,2)*CX159,2)</f>
        <v>0</v>
      </c>
      <c r="DG159">
        <f t="shared" si="63"/>
        <v>0</v>
      </c>
      <c r="DH159">
        <f t="shared" si="53"/>
        <v>0</v>
      </c>
      <c r="DI159">
        <f t="shared" si="55"/>
        <v>0</v>
      </c>
      <c r="DJ159">
        <f t="shared" si="64"/>
        <v>0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ROW(Source!A123)</f>
        <v>123</v>
      </c>
      <c r="B160">
        <v>65170852</v>
      </c>
      <c r="C160">
        <v>65171372</v>
      </c>
      <c r="D160">
        <v>56219777</v>
      </c>
      <c r="E160">
        <v>108</v>
      </c>
      <c r="F160">
        <v>1</v>
      </c>
      <c r="G160">
        <v>1</v>
      </c>
      <c r="H160">
        <v>3</v>
      </c>
      <c r="I160" t="s">
        <v>684</v>
      </c>
      <c r="J160" t="s">
        <v>3</v>
      </c>
      <c r="K160" t="s">
        <v>685</v>
      </c>
      <c r="L160">
        <v>1346</v>
      </c>
      <c r="N160">
        <v>1009</v>
      </c>
      <c r="O160" t="s">
        <v>549</v>
      </c>
      <c r="P160" t="s">
        <v>549</v>
      </c>
      <c r="Q160">
        <v>1</v>
      </c>
      <c r="W160">
        <v>0</v>
      </c>
      <c r="X160">
        <v>-1111733769</v>
      </c>
      <c r="Y160">
        <f t="shared" si="57"/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M160">
        <v>-2</v>
      </c>
      <c r="AN160">
        <v>1</v>
      </c>
      <c r="AO160">
        <v>0</v>
      </c>
      <c r="AP160">
        <v>1</v>
      </c>
      <c r="AQ160">
        <v>1</v>
      </c>
      <c r="AR160">
        <v>0</v>
      </c>
      <c r="AS160" t="s">
        <v>3</v>
      </c>
      <c r="AT160">
        <v>0</v>
      </c>
      <c r="AU160" t="s">
        <v>97</v>
      </c>
      <c r="AV160">
        <v>0</v>
      </c>
      <c r="AW160">
        <v>2</v>
      </c>
      <c r="AX160">
        <v>65171396</v>
      </c>
      <c r="AY160">
        <v>1</v>
      </c>
      <c r="AZ160">
        <v>0</v>
      </c>
      <c r="BA160">
        <v>155</v>
      </c>
      <c r="BB160">
        <v>1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V160">
        <v>0</v>
      </c>
      <c r="CW160">
        <v>0</v>
      </c>
      <c r="CX160">
        <f>ROUND(Y160*Source!I123,7)</f>
        <v>0</v>
      </c>
      <c r="CY160">
        <f t="shared" si="58"/>
        <v>0</v>
      </c>
      <c r="CZ160">
        <f t="shared" si="59"/>
        <v>0</v>
      </c>
      <c r="DA160">
        <f t="shared" si="60"/>
        <v>1</v>
      </c>
      <c r="DB160">
        <f t="shared" si="61"/>
        <v>0</v>
      </c>
      <c r="DC160">
        <f t="shared" si="62"/>
        <v>0</v>
      </c>
      <c r="DD160" t="s">
        <v>3</v>
      </c>
      <c r="DE160" t="s">
        <v>3</v>
      </c>
      <c r="DF160">
        <f>ROUND(ROUND(AE160,2)*CX160,2)</f>
        <v>0</v>
      </c>
      <c r="DG160">
        <f t="shared" si="63"/>
        <v>0</v>
      </c>
      <c r="DH160">
        <f t="shared" si="53"/>
        <v>0</v>
      </c>
      <c r="DI160">
        <f t="shared" si="55"/>
        <v>0</v>
      </c>
      <c r="DJ160">
        <f t="shared" si="64"/>
        <v>0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ROW(Source!A123)</f>
        <v>123</v>
      </c>
      <c r="B161">
        <v>65170852</v>
      </c>
      <c r="C161">
        <v>65171372</v>
      </c>
      <c r="D161">
        <v>56220120</v>
      </c>
      <c r="E161">
        <v>108</v>
      </c>
      <c r="F161">
        <v>1</v>
      </c>
      <c r="G161">
        <v>1</v>
      </c>
      <c r="H161">
        <v>3</v>
      </c>
      <c r="I161" t="s">
        <v>686</v>
      </c>
      <c r="J161" t="s">
        <v>3</v>
      </c>
      <c r="K161" t="s">
        <v>687</v>
      </c>
      <c r="L161">
        <v>1348</v>
      </c>
      <c r="N161">
        <v>1009</v>
      </c>
      <c r="O161" t="s">
        <v>94</v>
      </c>
      <c r="P161" t="s">
        <v>94</v>
      </c>
      <c r="Q161">
        <v>1000</v>
      </c>
      <c r="W161">
        <v>0</v>
      </c>
      <c r="X161">
        <v>1613753229</v>
      </c>
      <c r="Y161">
        <f t="shared" si="57"/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M161">
        <v>-2</v>
      </c>
      <c r="AN161">
        <v>1</v>
      </c>
      <c r="AO161">
        <v>0</v>
      </c>
      <c r="AP161">
        <v>1</v>
      </c>
      <c r="AQ161">
        <v>1</v>
      </c>
      <c r="AR161">
        <v>0</v>
      </c>
      <c r="AS161" t="s">
        <v>3</v>
      </c>
      <c r="AT161">
        <v>0</v>
      </c>
      <c r="AU161" t="s">
        <v>97</v>
      </c>
      <c r="AV161">
        <v>0</v>
      </c>
      <c r="AW161">
        <v>2</v>
      </c>
      <c r="AX161">
        <v>65171397</v>
      </c>
      <c r="AY161">
        <v>1</v>
      </c>
      <c r="AZ161">
        <v>0</v>
      </c>
      <c r="BA161">
        <v>156</v>
      </c>
      <c r="BB161">
        <v>1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V161">
        <v>0</v>
      </c>
      <c r="CW161">
        <v>0</v>
      </c>
      <c r="CX161">
        <f>ROUND(Y161*Source!I123,7)</f>
        <v>0</v>
      </c>
      <c r="CY161">
        <f t="shared" si="58"/>
        <v>0</v>
      </c>
      <c r="CZ161">
        <f t="shared" si="59"/>
        <v>0</v>
      </c>
      <c r="DA161">
        <f t="shared" si="60"/>
        <v>1</v>
      </c>
      <c r="DB161">
        <f t="shared" si="61"/>
        <v>0</v>
      </c>
      <c r="DC161">
        <f t="shared" si="62"/>
        <v>0</v>
      </c>
      <c r="DD161" t="s">
        <v>3</v>
      </c>
      <c r="DE161" t="s">
        <v>3</v>
      </c>
      <c r="DF161">
        <f>ROUND(ROUND(AE161,2)*CX161,2)</f>
        <v>0</v>
      </c>
      <c r="DG161">
        <f t="shared" si="63"/>
        <v>0</v>
      </c>
      <c r="DH161">
        <f t="shared" si="53"/>
        <v>0</v>
      </c>
      <c r="DI161">
        <f t="shared" si="55"/>
        <v>0</v>
      </c>
      <c r="DJ161">
        <f t="shared" si="64"/>
        <v>0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ROW(Source!A123)</f>
        <v>123</v>
      </c>
      <c r="B162">
        <v>65170852</v>
      </c>
      <c r="C162">
        <v>65171372</v>
      </c>
      <c r="D162">
        <v>56610133</v>
      </c>
      <c r="E162">
        <v>1</v>
      </c>
      <c r="F162">
        <v>1</v>
      </c>
      <c r="G162">
        <v>1</v>
      </c>
      <c r="H162">
        <v>3</v>
      </c>
      <c r="I162" t="s">
        <v>688</v>
      </c>
      <c r="J162" t="s">
        <v>689</v>
      </c>
      <c r="K162" t="s">
        <v>690</v>
      </c>
      <c r="L162">
        <v>1348</v>
      </c>
      <c r="N162">
        <v>1009</v>
      </c>
      <c r="O162" t="s">
        <v>94</v>
      </c>
      <c r="P162" t="s">
        <v>94</v>
      </c>
      <c r="Q162">
        <v>1000</v>
      </c>
      <c r="W162">
        <v>0</v>
      </c>
      <c r="X162">
        <v>-548549702</v>
      </c>
      <c r="Y162">
        <f t="shared" si="57"/>
        <v>0</v>
      </c>
      <c r="AA162">
        <v>97625.600000000006</v>
      </c>
      <c r="AB162">
        <v>0</v>
      </c>
      <c r="AC162">
        <v>0</v>
      </c>
      <c r="AD162">
        <v>0</v>
      </c>
      <c r="AE162">
        <v>80020.98</v>
      </c>
      <c r="AF162">
        <v>0</v>
      </c>
      <c r="AG162">
        <v>0</v>
      </c>
      <c r="AH162">
        <v>0</v>
      </c>
      <c r="AI162">
        <v>1.22</v>
      </c>
      <c r="AJ162">
        <v>1</v>
      </c>
      <c r="AK162">
        <v>1</v>
      </c>
      <c r="AL162">
        <v>1</v>
      </c>
      <c r="AM162">
        <v>2</v>
      </c>
      <c r="AN162">
        <v>0</v>
      </c>
      <c r="AO162">
        <v>0</v>
      </c>
      <c r="AP162">
        <v>1</v>
      </c>
      <c r="AQ162">
        <v>1</v>
      </c>
      <c r="AR162">
        <v>0</v>
      </c>
      <c r="AS162" t="s">
        <v>3</v>
      </c>
      <c r="AT162">
        <v>1E-4</v>
      </c>
      <c r="AU162" t="s">
        <v>97</v>
      </c>
      <c r="AV162">
        <v>0</v>
      </c>
      <c r="AW162">
        <v>2</v>
      </c>
      <c r="AX162">
        <v>65171398</v>
      </c>
      <c r="AY162">
        <v>1</v>
      </c>
      <c r="AZ162">
        <v>0</v>
      </c>
      <c r="BA162">
        <v>157</v>
      </c>
      <c r="BB162">
        <v>1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8.0020980000000002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1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V162">
        <v>0</v>
      </c>
      <c r="CW162">
        <v>0</v>
      </c>
      <c r="CX162">
        <f>ROUND(Y162*Source!I123,7)</f>
        <v>0</v>
      </c>
      <c r="CY162">
        <f t="shared" si="58"/>
        <v>97625.600000000006</v>
      </c>
      <c r="CZ162">
        <f t="shared" si="59"/>
        <v>80020.98</v>
      </c>
      <c r="DA162">
        <f t="shared" si="60"/>
        <v>1.22</v>
      </c>
      <c r="DB162">
        <f t="shared" si="61"/>
        <v>0</v>
      </c>
      <c r="DC162">
        <f t="shared" si="62"/>
        <v>0</v>
      </c>
      <c r="DD162" t="s">
        <v>3</v>
      </c>
      <c r="DE162" t="s">
        <v>3</v>
      </c>
      <c r="DF162">
        <f>ROUND(ROUND(AE162*AI162,2)*CX162,2)</f>
        <v>0</v>
      </c>
      <c r="DG162">
        <f t="shared" si="63"/>
        <v>0</v>
      </c>
      <c r="DH162">
        <f t="shared" si="53"/>
        <v>0</v>
      </c>
      <c r="DI162">
        <f t="shared" si="55"/>
        <v>0</v>
      </c>
      <c r="DJ162">
        <f t="shared" si="64"/>
        <v>0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ROW(Source!A123)</f>
        <v>123</v>
      </c>
      <c r="B163">
        <v>65170852</v>
      </c>
      <c r="C163">
        <v>65171372</v>
      </c>
      <c r="D163">
        <v>56610726</v>
      </c>
      <c r="E163">
        <v>1</v>
      </c>
      <c r="F163">
        <v>1</v>
      </c>
      <c r="G163">
        <v>1</v>
      </c>
      <c r="H163">
        <v>3</v>
      </c>
      <c r="I163" t="s">
        <v>628</v>
      </c>
      <c r="J163" t="s">
        <v>629</v>
      </c>
      <c r="K163" t="s">
        <v>630</v>
      </c>
      <c r="L163">
        <v>1346</v>
      </c>
      <c r="N163">
        <v>1009</v>
      </c>
      <c r="O163" t="s">
        <v>549</v>
      </c>
      <c r="P163" t="s">
        <v>549</v>
      </c>
      <c r="Q163">
        <v>1</v>
      </c>
      <c r="W163">
        <v>0</v>
      </c>
      <c r="X163">
        <v>-710112584</v>
      </c>
      <c r="Y163">
        <f t="shared" si="57"/>
        <v>0</v>
      </c>
      <c r="AA163">
        <v>76.959999999999994</v>
      </c>
      <c r="AB163">
        <v>0</v>
      </c>
      <c r="AC163">
        <v>0</v>
      </c>
      <c r="AD163">
        <v>0</v>
      </c>
      <c r="AE163">
        <v>60.6</v>
      </c>
      <c r="AF163">
        <v>0</v>
      </c>
      <c r="AG163">
        <v>0</v>
      </c>
      <c r="AH163">
        <v>0</v>
      </c>
      <c r="AI163">
        <v>1.27</v>
      </c>
      <c r="AJ163">
        <v>1</v>
      </c>
      <c r="AK163">
        <v>1</v>
      </c>
      <c r="AL163">
        <v>1</v>
      </c>
      <c r="AM163">
        <v>2</v>
      </c>
      <c r="AN163">
        <v>0</v>
      </c>
      <c r="AO163">
        <v>0</v>
      </c>
      <c r="AP163">
        <v>1</v>
      </c>
      <c r="AQ163">
        <v>1</v>
      </c>
      <c r="AR163">
        <v>0</v>
      </c>
      <c r="AS163" t="s">
        <v>3</v>
      </c>
      <c r="AT163">
        <v>0.12</v>
      </c>
      <c r="AU163" t="s">
        <v>97</v>
      </c>
      <c r="AV163">
        <v>0</v>
      </c>
      <c r="AW163">
        <v>2</v>
      </c>
      <c r="AX163">
        <v>65171399</v>
      </c>
      <c r="AY163">
        <v>1</v>
      </c>
      <c r="AZ163">
        <v>0</v>
      </c>
      <c r="BA163">
        <v>158</v>
      </c>
      <c r="BB163">
        <v>1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7.2720000000000002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1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ROUND(Y163*Source!I123,7)</f>
        <v>0</v>
      </c>
      <c r="CY163">
        <f t="shared" si="58"/>
        <v>76.959999999999994</v>
      </c>
      <c r="CZ163">
        <f t="shared" si="59"/>
        <v>60.6</v>
      </c>
      <c r="DA163">
        <f t="shared" si="60"/>
        <v>1.27</v>
      </c>
      <c r="DB163">
        <f t="shared" si="61"/>
        <v>0</v>
      </c>
      <c r="DC163">
        <f t="shared" si="62"/>
        <v>0</v>
      </c>
      <c r="DD163" t="s">
        <v>3</v>
      </c>
      <c r="DE163" t="s">
        <v>3</v>
      </c>
      <c r="DF163">
        <f>ROUND(ROUND(AE163*AI163,2)*CX163,2)</f>
        <v>0</v>
      </c>
      <c r="DG163">
        <f t="shared" si="63"/>
        <v>0</v>
      </c>
      <c r="DH163">
        <f t="shared" si="53"/>
        <v>0</v>
      </c>
      <c r="DI163">
        <f t="shared" si="55"/>
        <v>0</v>
      </c>
      <c r="DJ163">
        <f t="shared" si="64"/>
        <v>0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ROW(Source!A123)</f>
        <v>123</v>
      </c>
      <c r="B164">
        <v>65170852</v>
      </c>
      <c r="C164">
        <v>65171372</v>
      </c>
      <c r="D164">
        <v>56222425</v>
      </c>
      <c r="E164">
        <v>108</v>
      </c>
      <c r="F164">
        <v>1</v>
      </c>
      <c r="G164">
        <v>1</v>
      </c>
      <c r="H164">
        <v>3</v>
      </c>
      <c r="I164" t="s">
        <v>691</v>
      </c>
      <c r="J164" t="s">
        <v>3</v>
      </c>
      <c r="K164" t="s">
        <v>692</v>
      </c>
      <c r="L164">
        <v>1348</v>
      </c>
      <c r="N164">
        <v>1009</v>
      </c>
      <c r="O164" t="s">
        <v>94</v>
      </c>
      <c r="P164" t="s">
        <v>94</v>
      </c>
      <c r="Q164">
        <v>1000</v>
      </c>
      <c r="W164">
        <v>0</v>
      </c>
      <c r="X164">
        <v>-2074906300</v>
      </c>
      <c r="Y164">
        <f t="shared" si="57"/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1</v>
      </c>
      <c r="AO164">
        <v>0</v>
      </c>
      <c r="AP164">
        <v>1</v>
      </c>
      <c r="AQ164">
        <v>1</v>
      </c>
      <c r="AR164">
        <v>0</v>
      </c>
      <c r="AS164" t="s">
        <v>3</v>
      </c>
      <c r="AT164">
        <v>0</v>
      </c>
      <c r="AU164" t="s">
        <v>97</v>
      </c>
      <c r="AV164">
        <v>0</v>
      </c>
      <c r="AW164">
        <v>2</v>
      </c>
      <c r="AX164">
        <v>65171400</v>
      </c>
      <c r="AY164">
        <v>1</v>
      </c>
      <c r="AZ164">
        <v>0</v>
      </c>
      <c r="BA164">
        <v>159</v>
      </c>
      <c r="BB164">
        <v>1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V164">
        <v>0</v>
      </c>
      <c r="CW164">
        <v>0</v>
      </c>
      <c r="CX164">
        <f>ROUND(Y164*Source!I123,7)</f>
        <v>0</v>
      </c>
      <c r="CY164">
        <f t="shared" si="58"/>
        <v>0</v>
      </c>
      <c r="CZ164">
        <f t="shared" si="59"/>
        <v>0</v>
      </c>
      <c r="DA164">
        <f t="shared" si="60"/>
        <v>1</v>
      </c>
      <c r="DB164">
        <f t="shared" si="61"/>
        <v>0</v>
      </c>
      <c r="DC164">
        <f t="shared" si="62"/>
        <v>0</v>
      </c>
      <c r="DD164" t="s">
        <v>3</v>
      </c>
      <c r="DE164" t="s">
        <v>3</v>
      </c>
      <c r="DF164">
        <f t="shared" ref="DF164:DF180" si="65">ROUND(ROUND(AE164,2)*CX164,2)</f>
        <v>0</v>
      </c>
      <c r="DG164">
        <f t="shared" si="63"/>
        <v>0</v>
      </c>
      <c r="DH164">
        <f t="shared" si="53"/>
        <v>0</v>
      </c>
      <c r="DI164">
        <f t="shared" si="55"/>
        <v>0</v>
      </c>
      <c r="DJ164">
        <f t="shared" si="64"/>
        <v>0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ROW(Source!A123)</f>
        <v>123</v>
      </c>
      <c r="B165">
        <v>65170852</v>
      </c>
      <c r="C165">
        <v>65171372</v>
      </c>
      <c r="D165">
        <v>56222457</v>
      </c>
      <c r="E165">
        <v>108</v>
      </c>
      <c r="F165">
        <v>1</v>
      </c>
      <c r="G165">
        <v>1</v>
      </c>
      <c r="H165">
        <v>3</v>
      </c>
      <c r="I165" t="s">
        <v>693</v>
      </c>
      <c r="J165" t="s">
        <v>3</v>
      </c>
      <c r="K165" t="s">
        <v>694</v>
      </c>
      <c r="L165">
        <v>1371</v>
      </c>
      <c r="N165">
        <v>1013</v>
      </c>
      <c r="O165" t="s">
        <v>220</v>
      </c>
      <c r="P165" t="s">
        <v>220</v>
      </c>
      <c r="Q165">
        <v>1</v>
      </c>
      <c r="W165">
        <v>0</v>
      </c>
      <c r="X165">
        <v>1740798612</v>
      </c>
      <c r="Y165">
        <f t="shared" si="57"/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1</v>
      </c>
      <c r="AO165">
        <v>0</v>
      </c>
      <c r="AP165">
        <v>1</v>
      </c>
      <c r="AQ165">
        <v>1</v>
      </c>
      <c r="AR165">
        <v>0</v>
      </c>
      <c r="AS165" t="s">
        <v>3</v>
      </c>
      <c r="AT165">
        <v>0</v>
      </c>
      <c r="AU165" t="s">
        <v>97</v>
      </c>
      <c r="AV165">
        <v>0</v>
      </c>
      <c r="AW165">
        <v>2</v>
      </c>
      <c r="AX165">
        <v>65171401</v>
      </c>
      <c r="AY165">
        <v>1</v>
      </c>
      <c r="AZ165">
        <v>0</v>
      </c>
      <c r="BA165">
        <v>160</v>
      </c>
      <c r="BB165">
        <v>1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v>0</v>
      </c>
      <c r="CX165">
        <f>ROUND(Y165*Source!I123,7)</f>
        <v>0</v>
      </c>
      <c r="CY165">
        <f t="shared" si="58"/>
        <v>0</v>
      </c>
      <c r="CZ165">
        <f t="shared" si="59"/>
        <v>0</v>
      </c>
      <c r="DA165">
        <f t="shared" si="60"/>
        <v>1</v>
      </c>
      <c r="DB165">
        <f t="shared" si="61"/>
        <v>0</v>
      </c>
      <c r="DC165">
        <f t="shared" si="62"/>
        <v>0</v>
      </c>
      <c r="DD165" t="s">
        <v>3</v>
      </c>
      <c r="DE165" t="s">
        <v>3</v>
      </c>
      <c r="DF165">
        <f t="shared" si="65"/>
        <v>0</v>
      </c>
      <c r="DG165">
        <f t="shared" si="63"/>
        <v>0</v>
      </c>
      <c r="DH165">
        <f t="shared" si="53"/>
        <v>0</v>
      </c>
      <c r="DI165">
        <f t="shared" si="55"/>
        <v>0</v>
      </c>
      <c r="DJ165">
        <f t="shared" si="64"/>
        <v>0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ROW(Source!A123)</f>
        <v>123</v>
      </c>
      <c r="B166">
        <v>65170852</v>
      </c>
      <c r="C166">
        <v>65171372</v>
      </c>
      <c r="D166">
        <v>56222466</v>
      </c>
      <c r="E166">
        <v>108</v>
      </c>
      <c r="F166">
        <v>1</v>
      </c>
      <c r="G166">
        <v>1</v>
      </c>
      <c r="H166">
        <v>3</v>
      </c>
      <c r="I166" t="s">
        <v>695</v>
      </c>
      <c r="J166" t="s">
        <v>3</v>
      </c>
      <c r="K166" t="s">
        <v>696</v>
      </c>
      <c r="L166">
        <v>1346</v>
      </c>
      <c r="N166">
        <v>1009</v>
      </c>
      <c r="O166" t="s">
        <v>549</v>
      </c>
      <c r="P166" t="s">
        <v>549</v>
      </c>
      <c r="Q166">
        <v>1</v>
      </c>
      <c r="W166">
        <v>0</v>
      </c>
      <c r="X166">
        <v>1533393836</v>
      </c>
      <c r="Y166">
        <f t="shared" si="57"/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1</v>
      </c>
      <c r="AO166">
        <v>0</v>
      </c>
      <c r="AP166">
        <v>1</v>
      </c>
      <c r="AQ166">
        <v>1</v>
      </c>
      <c r="AR166">
        <v>0</v>
      </c>
      <c r="AS166" t="s">
        <v>3</v>
      </c>
      <c r="AT166">
        <v>0</v>
      </c>
      <c r="AU166" t="s">
        <v>97</v>
      </c>
      <c r="AV166">
        <v>0</v>
      </c>
      <c r="AW166">
        <v>2</v>
      </c>
      <c r="AX166">
        <v>65171402</v>
      </c>
      <c r="AY166">
        <v>1</v>
      </c>
      <c r="AZ166">
        <v>0</v>
      </c>
      <c r="BA166">
        <v>161</v>
      </c>
      <c r="BB166">
        <v>1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V166">
        <v>0</v>
      </c>
      <c r="CW166">
        <v>0</v>
      </c>
      <c r="CX166">
        <f>ROUND(Y166*Source!I123,7)</f>
        <v>0</v>
      </c>
      <c r="CY166">
        <f t="shared" si="58"/>
        <v>0</v>
      </c>
      <c r="CZ166">
        <f t="shared" si="59"/>
        <v>0</v>
      </c>
      <c r="DA166">
        <f t="shared" si="60"/>
        <v>1</v>
      </c>
      <c r="DB166">
        <f t="shared" si="61"/>
        <v>0</v>
      </c>
      <c r="DC166">
        <f t="shared" si="62"/>
        <v>0</v>
      </c>
      <c r="DD166" t="s">
        <v>3</v>
      </c>
      <c r="DE166" t="s">
        <v>3</v>
      </c>
      <c r="DF166">
        <f t="shared" si="65"/>
        <v>0</v>
      </c>
      <c r="DG166">
        <f t="shared" si="63"/>
        <v>0</v>
      </c>
      <c r="DH166">
        <f t="shared" si="53"/>
        <v>0</v>
      </c>
      <c r="DI166">
        <f t="shared" si="55"/>
        <v>0</v>
      </c>
      <c r="DJ166">
        <f t="shared" si="64"/>
        <v>0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ROW(Source!A124)</f>
        <v>124</v>
      </c>
      <c r="B167">
        <v>65170852</v>
      </c>
      <c r="C167">
        <v>65171439</v>
      </c>
      <c r="D167">
        <v>56217408</v>
      </c>
      <c r="E167">
        <v>108</v>
      </c>
      <c r="F167">
        <v>1</v>
      </c>
      <c r="G167">
        <v>1</v>
      </c>
      <c r="H167">
        <v>1</v>
      </c>
      <c r="I167" t="s">
        <v>697</v>
      </c>
      <c r="J167" t="s">
        <v>3</v>
      </c>
      <c r="K167" t="s">
        <v>698</v>
      </c>
      <c r="L167">
        <v>1369</v>
      </c>
      <c r="N167">
        <v>1013</v>
      </c>
      <c r="O167" t="s">
        <v>699</v>
      </c>
      <c r="P167" t="s">
        <v>699</v>
      </c>
      <c r="Q167">
        <v>1</v>
      </c>
      <c r="W167">
        <v>0</v>
      </c>
      <c r="X167">
        <v>-236928766</v>
      </c>
      <c r="Y167">
        <f t="shared" ref="Y167:Y180" si="66">(AT167*ROUND(0.3,7))</f>
        <v>0.27300000000000002</v>
      </c>
      <c r="AA167">
        <v>0</v>
      </c>
      <c r="AB167">
        <v>0</v>
      </c>
      <c r="AC167">
        <v>0</v>
      </c>
      <c r="AD167">
        <v>399.03</v>
      </c>
      <c r="AE167">
        <v>0</v>
      </c>
      <c r="AF167">
        <v>0</v>
      </c>
      <c r="AG167">
        <v>0</v>
      </c>
      <c r="AH167">
        <v>399.03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0</v>
      </c>
      <c r="AP167">
        <v>1</v>
      </c>
      <c r="AQ167">
        <v>1</v>
      </c>
      <c r="AR167">
        <v>0</v>
      </c>
      <c r="AS167" t="s">
        <v>3</v>
      </c>
      <c r="AT167">
        <v>0.91</v>
      </c>
      <c r="AU167" t="s">
        <v>223</v>
      </c>
      <c r="AV167">
        <v>1</v>
      </c>
      <c r="AW167">
        <v>2</v>
      </c>
      <c r="AX167">
        <v>65171450</v>
      </c>
      <c r="AY167">
        <v>1</v>
      </c>
      <c r="AZ167">
        <v>0</v>
      </c>
      <c r="BA167">
        <v>162</v>
      </c>
      <c r="BB167">
        <v>1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363.1173</v>
      </c>
      <c r="BN167">
        <v>0.91</v>
      </c>
      <c r="BO167">
        <v>0</v>
      </c>
      <c r="BP167">
        <v>1</v>
      </c>
      <c r="BQ167">
        <v>0</v>
      </c>
      <c r="BR167">
        <v>0</v>
      </c>
      <c r="BS167">
        <v>0</v>
      </c>
      <c r="BT167">
        <v>108.93519000000001</v>
      </c>
      <c r="BU167">
        <v>0.27300000000000002</v>
      </c>
      <c r="BV167">
        <v>0</v>
      </c>
      <c r="BW167">
        <v>1</v>
      </c>
      <c r="CU167">
        <f>ROUND(AT167*Source!I124*AH167*AL167,2)</f>
        <v>3.63</v>
      </c>
      <c r="CV167">
        <f>ROUND(Y167*Source!I124,7)</f>
        <v>2.7299999999999998E-3</v>
      </c>
      <c r="CW167">
        <v>0</v>
      </c>
      <c r="CX167">
        <f>ROUND(Y167*Source!I124,7)</f>
        <v>2.7299999999999998E-3</v>
      </c>
      <c r="CY167">
        <f>AD167</f>
        <v>399.03</v>
      </c>
      <c r="CZ167">
        <f>AH167</f>
        <v>399.03</v>
      </c>
      <c r="DA167">
        <f>AL167</f>
        <v>1</v>
      </c>
      <c r="DB167">
        <f t="shared" ref="DB167:DB180" si="67">ROUND((ROUND(AT167*CZ167,2)*ROUND(0.3,7)),6)</f>
        <v>108.93600000000001</v>
      </c>
      <c r="DC167">
        <f t="shared" ref="DC167:DC180" si="68">ROUND((ROUND(AT167*AG167,2)*ROUND(0.3,7)),6)</f>
        <v>0</v>
      </c>
      <c r="DD167" t="s">
        <v>3</v>
      </c>
      <c r="DE167" t="s">
        <v>3</v>
      </c>
      <c r="DF167">
        <f t="shared" si="65"/>
        <v>0</v>
      </c>
      <c r="DG167">
        <f t="shared" si="63"/>
        <v>0</v>
      </c>
      <c r="DH167">
        <f t="shared" si="53"/>
        <v>0</v>
      </c>
      <c r="DI167">
        <f t="shared" si="55"/>
        <v>1.0900000000000001</v>
      </c>
      <c r="DJ167">
        <f>DI167</f>
        <v>1.0900000000000001</v>
      </c>
      <c r="DK167">
        <v>1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ROW(Source!A124)</f>
        <v>124</v>
      </c>
      <c r="B168">
        <v>65170852</v>
      </c>
      <c r="C168">
        <v>65171439</v>
      </c>
      <c r="D168">
        <v>56217411</v>
      </c>
      <c r="E168">
        <v>108</v>
      </c>
      <c r="F168">
        <v>1</v>
      </c>
      <c r="G168">
        <v>1</v>
      </c>
      <c r="H168">
        <v>1</v>
      </c>
      <c r="I168" t="s">
        <v>700</v>
      </c>
      <c r="J168" t="s">
        <v>3</v>
      </c>
      <c r="K168" t="s">
        <v>701</v>
      </c>
      <c r="L168">
        <v>1369</v>
      </c>
      <c r="N168">
        <v>1013</v>
      </c>
      <c r="O168" t="s">
        <v>699</v>
      </c>
      <c r="P168" t="s">
        <v>699</v>
      </c>
      <c r="Q168">
        <v>1</v>
      </c>
      <c r="W168">
        <v>0</v>
      </c>
      <c r="X168">
        <v>-587036825</v>
      </c>
      <c r="Y168">
        <f t="shared" si="66"/>
        <v>11.667</v>
      </c>
      <c r="AA168">
        <v>0</v>
      </c>
      <c r="AB168">
        <v>0</v>
      </c>
      <c r="AC168">
        <v>0</v>
      </c>
      <c r="AD168">
        <v>435.64</v>
      </c>
      <c r="AE168">
        <v>0</v>
      </c>
      <c r="AF168">
        <v>0</v>
      </c>
      <c r="AG168">
        <v>0</v>
      </c>
      <c r="AH168">
        <v>435.64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0</v>
      </c>
      <c r="AP168">
        <v>1</v>
      </c>
      <c r="AQ168">
        <v>1</v>
      </c>
      <c r="AR168">
        <v>0</v>
      </c>
      <c r="AS168" t="s">
        <v>3</v>
      </c>
      <c r="AT168">
        <v>38.89</v>
      </c>
      <c r="AU168" t="s">
        <v>223</v>
      </c>
      <c r="AV168">
        <v>1</v>
      </c>
      <c r="AW168">
        <v>2</v>
      </c>
      <c r="AX168">
        <v>65171451</v>
      </c>
      <c r="AY168">
        <v>1</v>
      </c>
      <c r="AZ168">
        <v>0</v>
      </c>
      <c r="BA168">
        <v>163</v>
      </c>
      <c r="BB168">
        <v>1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16942.0396</v>
      </c>
      <c r="BN168">
        <v>38.89</v>
      </c>
      <c r="BO168">
        <v>0</v>
      </c>
      <c r="BP168">
        <v>1</v>
      </c>
      <c r="BQ168">
        <v>0</v>
      </c>
      <c r="BR168">
        <v>0</v>
      </c>
      <c r="BS168">
        <v>0</v>
      </c>
      <c r="BT168">
        <v>5082.6118799999995</v>
      </c>
      <c r="BU168">
        <v>11.667</v>
      </c>
      <c r="BV168">
        <v>0</v>
      </c>
      <c r="BW168">
        <v>1</v>
      </c>
      <c r="CU168">
        <f>ROUND(AT168*Source!I124*AH168*AL168,2)</f>
        <v>169.42</v>
      </c>
      <c r="CV168">
        <f>ROUND(Y168*Source!I124,7)</f>
        <v>0.11667</v>
      </c>
      <c r="CW168">
        <v>0</v>
      </c>
      <c r="CX168">
        <f>ROUND(Y168*Source!I124,7)</f>
        <v>0.11667</v>
      </c>
      <c r="CY168">
        <f>AD168</f>
        <v>435.64</v>
      </c>
      <c r="CZ168">
        <f>AH168</f>
        <v>435.64</v>
      </c>
      <c r="DA168">
        <f>AL168</f>
        <v>1</v>
      </c>
      <c r="DB168">
        <f t="shared" si="67"/>
        <v>5082.6120000000001</v>
      </c>
      <c r="DC168">
        <f t="shared" si="68"/>
        <v>0</v>
      </c>
      <c r="DD168" t="s">
        <v>3</v>
      </c>
      <c r="DE168" t="s">
        <v>3</v>
      </c>
      <c r="DF168">
        <f t="shared" si="65"/>
        <v>0</v>
      </c>
      <c r="DG168">
        <f t="shared" si="63"/>
        <v>0</v>
      </c>
      <c r="DH168">
        <f t="shared" si="53"/>
        <v>0</v>
      </c>
      <c r="DI168">
        <f t="shared" si="55"/>
        <v>50.83</v>
      </c>
      <c r="DJ168">
        <f>DI168</f>
        <v>50.83</v>
      </c>
      <c r="DK168">
        <v>1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ROW(Source!A124)</f>
        <v>124</v>
      </c>
      <c r="B169">
        <v>65170852</v>
      </c>
      <c r="C169">
        <v>65171439</v>
      </c>
      <c r="D169">
        <v>56217415</v>
      </c>
      <c r="E169">
        <v>108</v>
      </c>
      <c r="F169">
        <v>1</v>
      </c>
      <c r="G169">
        <v>1</v>
      </c>
      <c r="H169">
        <v>1</v>
      </c>
      <c r="I169" t="s">
        <v>702</v>
      </c>
      <c r="J169" t="s">
        <v>3</v>
      </c>
      <c r="K169" t="s">
        <v>703</v>
      </c>
      <c r="L169">
        <v>1369</v>
      </c>
      <c r="N169">
        <v>1013</v>
      </c>
      <c r="O169" t="s">
        <v>699</v>
      </c>
      <c r="P169" t="s">
        <v>699</v>
      </c>
      <c r="Q169">
        <v>1</v>
      </c>
      <c r="W169">
        <v>0</v>
      </c>
      <c r="X169">
        <v>-512803540</v>
      </c>
      <c r="Y169">
        <f t="shared" si="66"/>
        <v>5.7719999999999994</v>
      </c>
      <c r="AA169">
        <v>0</v>
      </c>
      <c r="AB169">
        <v>0</v>
      </c>
      <c r="AC169">
        <v>0</v>
      </c>
      <c r="AD169">
        <v>490.55</v>
      </c>
      <c r="AE169">
        <v>0</v>
      </c>
      <c r="AF169">
        <v>0</v>
      </c>
      <c r="AG169">
        <v>0</v>
      </c>
      <c r="AH169">
        <v>490.55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0</v>
      </c>
      <c r="AP169">
        <v>1</v>
      </c>
      <c r="AQ169">
        <v>1</v>
      </c>
      <c r="AR169">
        <v>0</v>
      </c>
      <c r="AS169" t="s">
        <v>3</v>
      </c>
      <c r="AT169">
        <v>19.239999999999998</v>
      </c>
      <c r="AU169" t="s">
        <v>223</v>
      </c>
      <c r="AV169">
        <v>1</v>
      </c>
      <c r="AW169">
        <v>2</v>
      </c>
      <c r="AX169">
        <v>65171452</v>
      </c>
      <c r="AY169">
        <v>1</v>
      </c>
      <c r="AZ169">
        <v>0</v>
      </c>
      <c r="BA169">
        <v>164</v>
      </c>
      <c r="BB169">
        <v>1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9438.1819999999989</v>
      </c>
      <c r="BN169">
        <v>19.239999999999998</v>
      </c>
      <c r="BO169">
        <v>0</v>
      </c>
      <c r="BP169">
        <v>1</v>
      </c>
      <c r="BQ169">
        <v>0</v>
      </c>
      <c r="BR169">
        <v>0</v>
      </c>
      <c r="BS169">
        <v>0</v>
      </c>
      <c r="BT169">
        <v>2831.4545999999996</v>
      </c>
      <c r="BU169">
        <v>5.7719999999999994</v>
      </c>
      <c r="BV169">
        <v>0</v>
      </c>
      <c r="BW169">
        <v>1</v>
      </c>
      <c r="CU169">
        <f>ROUND(AT169*Source!I124*AH169*AL169,2)</f>
        <v>94.38</v>
      </c>
      <c r="CV169">
        <f>ROUND(Y169*Source!I124,7)</f>
        <v>5.772E-2</v>
      </c>
      <c r="CW169">
        <v>0</v>
      </c>
      <c r="CX169">
        <f>ROUND(Y169*Source!I124,7)</f>
        <v>5.772E-2</v>
      </c>
      <c r="CY169">
        <f>AD169</f>
        <v>490.55</v>
      </c>
      <c r="CZ169">
        <f>AH169</f>
        <v>490.55</v>
      </c>
      <c r="DA169">
        <f>AL169</f>
        <v>1</v>
      </c>
      <c r="DB169">
        <f t="shared" si="67"/>
        <v>2831.4540000000002</v>
      </c>
      <c r="DC169">
        <f t="shared" si="68"/>
        <v>0</v>
      </c>
      <c r="DD169" t="s">
        <v>3</v>
      </c>
      <c r="DE169" t="s">
        <v>3</v>
      </c>
      <c r="DF169">
        <f t="shared" si="65"/>
        <v>0</v>
      </c>
      <c r="DG169">
        <f t="shared" si="63"/>
        <v>0</v>
      </c>
      <c r="DH169">
        <f t="shared" si="53"/>
        <v>0</v>
      </c>
      <c r="DI169">
        <f t="shared" si="55"/>
        <v>28.31</v>
      </c>
      <c r="DJ169">
        <f>DI169</f>
        <v>28.31</v>
      </c>
      <c r="DK169">
        <v>1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ROW(Source!A124)</f>
        <v>124</v>
      </c>
      <c r="B170">
        <v>65170852</v>
      </c>
      <c r="C170">
        <v>65171439</v>
      </c>
      <c r="D170">
        <v>56217418</v>
      </c>
      <c r="E170">
        <v>108</v>
      </c>
      <c r="F170">
        <v>1</v>
      </c>
      <c r="G170">
        <v>1</v>
      </c>
      <c r="H170">
        <v>1</v>
      </c>
      <c r="I170" t="s">
        <v>704</v>
      </c>
      <c r="J170" t="s">
        <v>3</v>
      </c>
      <c r="K170" t="s">
        <v>705</v>
      </c>
      <c r="L170">
        <v>1369</v>
      </c>
      <c r="N170">
        <v>1013</v>
      </c>
      <c r="O170" t="s">
        <v>699</v>
      </c>
      <c r="P170" t="s">
        <v>699</v>
      </c>
      <c r="Q170">
        <v>1</v>
      </c>
      <c r="W170">
        <v>0</v>
      </c>
      <c r="X170">
        <v>1518711480</v>
      </c>
      <c r="Y170">
        <f t="shared" si="66"/>
        <v>5.7719999999999994</v>
      </c>
      <c r="AA170">
        <v>0</v>
      </c>
      <c r="AB170">
        <v>0</v>
      </c>
      <c r="AC170">
        <v>0</v>
      </c>
      <c r="AD170">
        <v>563.76</v>
      </c>
      <c r="AE170">
        <v>0</v>
      </c>
      <c r="AF170">
        <v>0</v>
      </c>
      <c r="AG170">
        <v>0</v>
      </c>
      <c r="AH170">
        <v>563.76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0</v>
      </c>
      <c r="AP170">
        <v>1</v>
      </c>
      <c r="AQ170">
        <v>1</v>
      </c>
      <c r="AR170">
        <v>0</v>
      </c>
      <c r="AS170" t="s">
        <v>3</v>
      </c>
      <c r="AT170">
        <v>19.239999999999998</v>
      </c>
      <c r="AU170" t="s">
        <v>223</v>
      </c>
      <c r="AV170">
        <v>1</v>
      </c>
      <c r="AW170">
        <v>2</v>
      </c>
      <c r="AX170">
        <v>65171453</v>
      </c>
      <c r="AY170">
        <v>1</v>
      </c>
      <c r="AZ170">
        <v>0</v>
      </c>
      <c r="BA170">
        <v>165</v>
      </c>
      <c r="BB170">
        <v>1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10846.742399999999</v>
      </c>
      <c r="BN170">
        <v>19.239999999999998</v>
      </c>
      <c r="BO170">
        <v>0</v>
      </c>
      <c r="BP170">
        <v>1</v>
      </c>
      <c r="BQ170">
        <v>0</v>
      </c>
      <c r="BR170">
        <v>0</v>
      </c>
      <c r="BS170">
        <v>0</v>
      </c>
      <c r="BT170">
        <v>3254.0227199999995</v>
      </c>
      <c r="BU170">
        <v>5.7719999999999994</v>
      </c>
      <c r="BV170">
        <v>0</v>
      </c>
      <c r="BW170">
        <v>1</v>
      </c>
      <c r="CU170">
        <f>ROUND(AT170*Source!I124*AH170*AL170,2)</f>
        <v>108.47</v>
      </c>
      <c r="CV170">
        <f>ROUND(Y170*Source!I124,7)</f>
        <v>5.772E-2</v>
      </c>
      <c r="CW170">
        <v>0</v>
      </c>
      <c r="CX170">
        <f>ROUND(Y170*Source!I124,7)</f>
        <v>5.772E-2</v>
      </c>
      <c r="CY170">
        <f>AD170</f>
        <v>563.76</v>
      </c>
      <c r="CZ170">
        <f>AH170</f>
        <v>563.76</v>
      </c>
      <c r="DA170">
        <f>AL170</f>
        <v>1</v>
      </c>
      <c r="DB170">
        <f t="shared" si="67"/>
        <v>3254.0219999999999</v>
      </c>
      <c r="DC170">
        <f t="shared" si="68"/>
        <v>0</v>
      </c>
      <c r="DD170" t="s">
        <v>3</v>
      </c>
      <c r="DE170" t="s">
        <v>3</v>
      </c>
      <c r="DF170">
        <f t="shared" si="65"/>
        <v>0</v>
      </c>
      <c r="DG170">
        <f t="shared" si="63"/>
        <v>0</v>
      </c>
      <c r="DH170">
        <f t="shared" si="53"/>
        <v>0</v>
      </c>
      <c r="DI170">
        <f t="shared" si="55"/>
        <v>32.54</v>
      </c>
      <c r="DJ170">
        <f>DI170</f>
        <v>32.54</v>
      </c>
      <c r="DK170">
        <v>1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ROW(Source!A124)</f>
        <v>124</v>
      </c>
      <c r="B171">
        <v>65170852</v>
      </c>
      <c r="C171">
        <v>65171439</v>
      </c>
      <c r="D171">
        <v>37064876</v>
      </c>
      <c r="E171">
        <v>108</v>
      </c>
      <c r="F171">
        <v>1</v>
      </c>
      <c r="G171">
        <v>1</v>
      </c>
      <c r="H171">
        <v>1</v>
      </c>
      <c r="I171" t="s">
        <v>510</v>
      </c>
      <c r="J171" t="s">
        <v>3</v>
      </c>
      <c r="K171" t="s">
        <v>511</v>
      </c>
      <c r="L171">
        <v>1191</v>
      </c>
      <c r="N171">
        <v>1013</v>
      </c>
      <c r="O171" t="s">
        <v>509</v>
      </c>
      <c r="P171" t="s">
        <v>509</v>
      </c>
      <c r="Q171">
        <v>1</v>
      </c>
      <c r="W171">
        <v>0</v>
      </c>
      <c r="X171">
        <v>-1417349443</v>
      </c>
      <c r="Y171">
        <f t="shared" si="66"/>
        <v>6.6719999999999997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0</v>
      </c>
      <c r="AP171">
        <v>1</v>
      </c>
      <c r="AQ171">
        <v>1</v>
      </c>
      <c r="AR171">
        <v>0</v>
      </c>
      <c r="AS171" t="s">
        <v>3</v>
      </c>
      <c r="AT171">
        <v>22.24</v>
      </c>
      <c r="AU171" t="s">
        <v>223</v>
      </c>
      <c r="AV171">
        <v>2</v>
      </c>
      <c r="AW171">
        <v>2</v>
      </c>
      <c r="AX171">
        <v>65171454</v>
      </c>
      <c r="AY171">
        <v>1</v>
      </c>
      <c r="AZ171">
        <v>0</v>
      </c>
      <c r="BA171">
        <v>166</v>
      </c>
      <c r="BB171">
        <v>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V171">
        <v>0</v>
      </c>
      <c r="CW171">
        <v>0</v>
      </c>
      <c r="CX171">
        <f>ROUND(Y171*Source!I124,7)</f>
        <v>6.6720000000000002E-2</v>
      </c>
      <c r="CY171">
        <f>AD171</f>
        <v>0</v>
      </c>
      <c r="CZ171">
        <f>AH171</f>
        <v>0</v>
      </c>
      <c r="DA171">
        <f>AL171</f>
        <v>1</v>
      </c>
      <c r="DB171">
        <f t="shared" si="67"/>
        <v>0</v>
      </c>
      <c r="DC171">
        <f t="shared" si="68"/>
        <v>0</v>
      </c>
      <c r="DD171" t="s">
        <v>3</v>
      </c>
      <c r="DE171" t="s">
        <v>3</v>
      </c>
      <c r="DF171">
        <f t="shared" si="65"/>
        <v>0</v>
      </c>
      <c r="DG171">
        <f t="shared" si="63"/>
        <v>0</v>
      </c>
      <c r="DH171">
        <f t="shared" si="53"/>
        <v>0</v>
      </c>
      <c r="DI171">
        <f t="shared" si="55"/>
        <v>0</v>
      </c>
      <c r="DJ171">
        <f>DI171</f>
        <v>0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ROW(Source!A124)</f>
        <v>124</v>
      </c>
      <c r="B172">
        <v>65170852</v>
      </c>
      <c r="C172">
        <v>65171439</v>
      </c>
      <c r="D172">
        <v>56571417</v>
      </c>
      <c r="E172">
        <v>1</v>
      </c>
      <c r="F172">
        <v>1</v>
      </c>
      <c r="G172">
        <v>1</v>
      </c>
      <c r="H172">
        <v>2</v>
      </c>
      <c r="I172" t="s">
        <v>512</v>
      </c>
      <c r="J172" t="s">
        <v>513</v>
      </c>
      <c r="K172" t="s">
        <v>514</v>
      </c>
      <c r="L172">
        <v>1368</v>
      </c>
      <c r="N172">
        <v>1011</v>
      </c>
      <c r="O172" t="s">
        <v>515</v>
      </c>
      <c r="P172" t="s">
        <v>515</v>
      </c>
      <c r="Q172">
        <v>1</v>
      </c>
      <c r="W172">
        <v>0</v>
      </c>
      <c r="X172">
        <v>-848025172</v>
      </c>
      <c r="Y172">
        <f t="shared" si="66"/>
        <v>0.192</v>
      </c>
      <c r="AA172">
        <v>0</v>
      </c>
      <c r="AB172">
        <v>1551.19</v>
      </c>
      <c r="AC172">
        <v>658.94</v>
      </c>
      <c r="AD172">
        <v>0</v>
      </c>
      <c r="AE172">
        <v>0</v>
      </c>
      <c r="AF172">
        <v>1551.19</v>
      </c>
      <c r="AG172">
        <v>658.94</v>
      </c>
      <c r="AH172">
        <v>0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0</v>
      </c>
      <c r="AP172">
        <v>1</v>
      </c>
      <c r="AQ172">
        <v>1</v>
      </c>
      <c r="AR172">
        <v>0</v>
      </c>
      <c r="AS172" t="s">
        <v>3</v>
      </c>
      <c r="AT172">
        <v>0.64</v>
      </c>
      <c r="AU172" t="s">
        <v>223</v>
      </c>
      <c r="AV172">
        <v>1</v>
      </c>
      <c r="AW172">
        <v>2</v>
      </c>
      <c r="AX172">
        <v>65171455</v>
      </c>
      <c r="AY172">
        <v>1</v>
      </c>
      <c r="AZ172">
        <v>0</v>
      </c>
      <c r="BA172">
        <v>167</v>
      </c>
      <c r="BB172">
        <v>1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992.76160000000004</v>
      </c>
      <c r="BL172">
        <v>421.72160000000002</v>
      </c>
      <c r="BM172">
        <v>0</v>
      </c>
      <c r="BN172">
        <v>0</v>
      </c>
      <c r="BO172">
        <v>0.64</v>
      </c>
      <c r="BP172">
        <v>1</v>
      </c>
      <c r="BQ172">
        <v>0</v>
      </c>
      <c r="BR172">
        <v>297.82848000000001</v>
      </c>
      <c r="BS172">
        <v>126.51648000000002</v>
      </c>
      <c r="BT172">
        <v>0</v>
      </c>
      <c r="BU172">
        <v>0</v>
      </c>
      <c r="BV172">
        <v>0.192</v>
      </c>
      <c r="BW172">
        <v>1</v>
      </c>
      <c r="CV172">
        <v>0</v>
      </c>
      <c r="CW172">
        <f>ROUND(Y172*Source!I124*DO172,7)</f>
        <v>1.92E-3</v>
      </c>
      <c r="CX172">
        <f>ROUND(Y172*Source!I124,7)</f>
        <v>1.92E-3</v>
      </c>
      <c r="CY172">
        <f>AB172</f>
        <v>1551.19</v>
      </c>
      <c r="CZ172">
        <f>AF172</f>
        <v>1551.19</v>
      </c>
      <c r="DA172">
        <f>AJ172</f>
        <v>1</v>
      </c>
      <c r="DB172">
        <f t="shared" si="67"/>
        <v>297.82799999999997</v>
      </c>
      <c r="DC172">
        <f t="shared" si="68"/>
        <v>126.51600000000001</v>
      </c>
      <c r="DD172" t="s">
        <v>3</v>
      </c>
      <c r="DE172" t="s">
        <v>3</v>
      </c>
      <c r="DF172">
        <f t="shared" si="65"/>
        <v>0</v>
      </c>
      <c r="DG172">
        <f t="shared" si="63"/>
        <v>2.98</v>
      </c>
      <c r="DH172">
        <f t="shared" si="53"/>
        <v>1.27</v>
      </c>
      <c r="DI172">
        <f t="shared" si="55"/>
        <v>0</v>
      </c>
      <c r="DJ172">
        <f>DG172+DH172</f>
        <v>4.25</v>
      </c>
      <c r="DK172">
        <v>1</v>
      </c>
      <c r="DL172" t="s">
        <v>516</v>
      </c>
      <c r="DM172">
        <v>6</v>
      </c>
      <c r="DN172" t="s">
        <v>509</v>
      </c>
      <c r="DO172">
        <v>1</v>
      </c>
    </row>
    <row r="173" spans="1:119" x14ac:dyDescent="0.2">
      <c r="A173">
        <f>ROW(Source!A124)</f>
        <v>124</v>
      </c>
      <c r="B173">
        <v>65170852</v>
      </c>
      <c r="C173">
        <v>65171439</v>
      </c>
      <c r="D173">
        <v>56571637</v>
      </c>
      <c r="E173">
        <v>1</v>
      </c>
      <c r="F173">
        <v>1</v>
      </c>
      <c r="G173">
        <v>1</v>
      </c>
      <c r="H173">
        <v>2</v>
      </c>
      <c r="I173" t="s">
        <v>706</v>
      </c>
      <c r="J173" t="s">
        <v>707</v>
      </c>
      <c r="K173" t="s">
        <v>708</v>
      </c>
      <c r="L173">
        <v>1368</v>
      </c>
      <c r="N173">
        <v>1011</v>
      </c>
      <c r="O173" t="s">
        <v>515</v>
      </c>
      <c r="P173" t="s">
        <v>515</v>
      </c>
      <c r="Q173">
        <v>1</v>
      </c>
      <c r="W173">
        <v>0</v>
      </c>
      <c r="X173">
        <v>-1236030678</v>
      </c>
      <c r="Y173">
        <f t="shared" si="66"/>
        <v>0.72</v>
      </c>
      <c r="AA173">
        <v>0</v>
      </c>
      <c r="AB173">
        <v>15.12</v>
      </c>
      <c r="AC173">
        <v>0</v>
      </c>
      <c r="AD173">
        <v>0</v>
      </c>
      <c r="AE173">
        <v>0</v>
      </c>
      <c r="AF173">
        <v>15.12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0</v>
      </c>
      <c r="AP173">
        <v>1</v>
      </c>
      <c r="AQ173">
        <v>1</v>
      </c>
      <c r="AR173">
        <v>0</v>
      </c>
      <c r="AS173" t="s">
        <v>3</v>
      </c>
      <c r="AT173">
        <v>2.4</v>
      </c>
      <c r="AU173" t="s">
        <v>223</v>
      </c>
      <c r="AV173">
        <v>1</v>
      </c>
      <c r="AW173">
        <v>2</v>
      </c>
      <c r="AX173">
        <v>65171456</v>
      </c>
      <c r="AY173">
        <v>1</v>
      </c>
      <c r="AZ173">
        <v>0</v>
      </c>
      <c r="BA173">
        <v>168</v>
      </c>
      <c r="BB173">
        <v>1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36.287999999999997</v>
      </c>
      <c r="BL173">
        <v>0</v>
      </c>
      <c r="BM173">
        <v>0</v>
      </c>
      <c r="BN173">
        <v>0</v>
      </c>
      <c r="BO173">
        <v>0</v>
      </c>
      <c r="BP173">
        <v>1</v>
      </c>
      <c r="BQ173">
        <v>0</v>
      </c>
      <c r="BR173">
        <v>10.886399999999998</v>
      </c>
      <c r="BS173">
        <v>0</v>
      </c>
      <c r="BT173">
        <v>0</v>
      </c>
      <c r="BU173">
        <v>0</v>
      </c>
      <c r="BV173">
        <v>0</v>
      </c>
      <c r="BW173">
        <v>1</v>
      </c>
      <c r="CV173">
        <v>0</v>
      </c>
      <c r="CW173">
        <f>ROUND(Y173*Source!I124*DO173,7)</f>
        <v>0</v>
      </c>
      <c r="CX173">
        <f>ROUND(Y173*Source!I124,7)</f>
        <v>7.1999999999999998E-3</v>
      </c>
      <c r="CY173">
        <f>AB173</f>
        <v>15.12</v>
      </c>
      <c r="CZ173">
        <f>AF173</f>
        <v>15.12</v>
      </c>
      <c r="DA173">
        <f>AJ173</f>
        <v>1</v>
      </c>
      <c r="DB173">
        <f t="shared" si="67"/>
        <v>10.887</v>
      </c>
      <c r="DC173">
        <f t="shared" si="68"/>
        <v>0</v>
      </c>
      <c r="DD173" t="s">
        <v>3</v>
      </c>
      <c r="DE173" t="s">
        <v>3</v>
      </c>
      <c r="DF173">
        <f t="shared" si="65"/>
        <v>0</v>
      </c>
      <c r="DG173">
        <f t="shared" si="63"/>
        <v>0.11</v>
      </c>
      <c r="DH173">
        <f t="shared" si="53"/>
        <v>0</v>
      </c>
      <c r="DI173">
        <f t="shared" si="55"/>
        <v>0</v>
      </c>
      <c r="DJ173">
        <f>DG173+DH173</f>
        <v>0.11</v>
      </c>
      <c r="DK173">
        <v>1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ROW(Source!A124)</f>
        <v>124</v>
      </c>
      <c r="B174">
        <v>65170852</v>
      </c>
      <c r="C174">
        <v>65171439</v>
      </c>
      <c r="D174">
        <v>56571702</v>
      </c>
      <c r="E174">
        <v>1</v>
      </c>
      <c r="F174">
        <v>1</v>
      </c>
      <c r="G174">
        <v>1</v>
      </c>
      <c r="H174">
        <v>2</v>
      </c>
      <c r="I174" t="s">
        <v>709</v>
      </c>
      <c r="J174" t="s">
        <v>710</v>
      </c>
      <c r="K174" t="s">
        <v>711</v>
      </c>
      <c r="L174">
        <v>1368</v>
      </c>
      <c r="N174">
        <v>1011</v>
      </c>
      <c r="O174" t="s">
        <v>515</v>
      </c>
      <c r="P174" t="s">
        <v>515</v>
      </c>
      <c r="Q174">
        <v>1</v>
      </c>
      <c r="W174">
        <v>0</v>
      </c>
      <c r="X174">
        <v>-1146903463</v>
      </c>
      <c r="Y174">
        <f t="shared" si="66"/>
        <v>5.6040000000000001</v>
      </c>
      <c r="AA174">
        <v>0</v>
      </c>
      <c r="AB174">
        <v>471.55</v>
      </c>
      <c r="AC174">
        <v>490.55</v>
      </c>
      <c r="AD174">
        <v>0</v>
      </c>
      <c r="AE174">
        <v>0</v>
      </c>
      <c r="AF174">
        <v>346.73</v>
      </c>
      <c r="AG174">
        <v>490.55</v>
      </c>
      <c r="AH174">
        <v>0</v>
      </c>
      <c r="AI174">
        <v>1</v>
      </c>
      <c r="AJ174">
        <v>1.36</v>
      </c>
      <c r="AK174">
        <v>1</v>
      </c>
      <c r="AL174">
        <v>1</v>
      </c>
      <c r="AM174">
        <v>2</v>
      </c>
      <c r="AN174">
        <v>0</v>
      </c>
      <c r="AO174">
        <v>0</v>
      </c>
      <c r="AP174">
        <v>1</v>
      </c>
      <c r="AQ174">
        <v>1</v>
      </c>
      <c r="AR174">
        <v>0</v>
      </c>
      <c r="AS174" t="s">
        <v>3</v>
      </c>
      <c r="AT174">
        <v>18.68</v>
      </c>
      <c r="AU174" t="s">
        <v>223</v>
      </c>
      <c r="AV174">
        <v>1</v>
      </c>
      <c r="AW174">
        <v>2</v>
      </c>
      <c r="AX174">
        <v>65171457</v>
      </c>
      <c r="AY174">
        <v>1</v>
      </c>
      <c r="AZ174">
        <v>0</v>
      </c>
      <c r="BA174">
        <v>169</v>
      </c>
      <c r="BB174">
        <v>1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6476.9164000000001</v>
      </c>
      <c r="BL174">
        <v>9163.4740000000002</v>
      </c>
      <c r="BM174">
        <v>0</v>
      </c>
      <c r="BN174">
        <v>0</v>
      </c>
      <c r="BO174">
        <v>18.68</v>
      </c>
      <c r="BP174">
        <v>1</v>
      </c>
      <c r="BQ174">
        <v>0</v>
      </c>
      <c r="BR174">
        <v>1943.0749200000002</v>
      </c>
      <c r="BS174">
        <v>2749.0422000000003</v>
      </c>
      <c r="BT174">
        <v>0</v>
      </c>
      <c r="BU174">
        <v>0</v>
      </c>
      <c r="BV174">
        <v>5.6040000000000001</v>
      </c>
      <c r="BW174">
        <v>1</v>
      </c>
      <c r="CV174">
        <v>0</v>
      </c>
      <c r="CW174">
        <f>ROUND(Y174*Source!I124*DO174,7)</f>
        <v>5.604E-2</v>
      </c>
      <c r="CX174">
        <f>ROUND(Y174*Source!I124,7)</f>
        <v>5.604E-2</v>
      </c>
      <c r="CY174">
        <f>AB174</f>
        <v>471.55</v>
      </c>
      <c r="CZ174">
        <f>AF174</f>
        <v>346.73</v>
      </c>
      <c r="DA174">
        <f>AJ174</f>
        <v>1.36</v>
      </c>
      <c r="DB174">
        <f t="shared" si="67"/>
        <v>1943.076</v>
      </c>
      <c r="DC174">
        <f t="shared" si="68"/>
        <v>2749.0410000000002</v>
      </c>
      <c r="DD174" t="s">
        <v>3</v>
      </c>
      <c r="DE174" t="s">
        <v>3</v>
      </c>
      <c r="DF174">
        <f t="shared" si="65"/>
        <v>0</v>
      </c>
      <c r="DG174">
        <f>ROUND(ROUND(AF174*AJ174,2)*CX174,2)</f>
        <v>26.43</v>
      </c>
      <c r="DH174">
        <f t="shared" si="53"/>
        <v>27.49</v>
      </c>
      <c r="DI174">
        <f t="shared" si="55"/>
        <v>0</v>
      </c>
      <c r="DJ174">
        <f>DG174+DH174</f>
        <v>53.92</v>
      </c>
      <c r="DK174">
        <v>0</v>
      </c>
      <c r="DL174" t="s">
        <v>523</v>
      </c>
      <c r="DM174">
        <v>4</v>
      </c>
      <c r="DN174" t="s">
        <v>509</v>
      </c>
      <c r="DO174">
        <v>1</v>
      </c>
    </row>
    <row r="175" spans="1:119" x14ac:dyDescent="0.2">
      <c r="A175">
        <f>ROW(Source!A124)</f>
        <v>124</v>
      </c>
      <c r="B175">
        <v>65170852</v>
      </c>
      <c r="C175">
        <v>65171439</v>
      </c>
      <c r="D175">
        <v>56572833</v>
      </c>
      <c r="E175">
        <v>1</v>
      </c>
      <c r="F175">
        <v>1</v>
      </c>
      <c r="G175">
        <v>1</v>
      </c>
      <c r="H175">
        <v>2</v>
      </c>
      <c r="I175" t="s">
        <v>520</v>
      </c>
      <c r="J175" t="s">
        <v>521</v>
      </c>
      <c r="K175" t="s">
        <v>522</v>
      </c>
      <c r="L175">
        <v>1368</v>
      </c>
      <c r="N175">
        <v>1011</v>
      </c>
      <c r="O175" t="s">
        <v>515</v>
      </c>
      <c r="P175" t="s">
        <v>515</v>
      </c>
      <c r="Q175">
        <v>1</v>
      </c>
      <c r="W175">
        <v>0</v>
      </c>
      <c r="X175">
        <v>1230426758</v>
      </c>
      <c r="Y175">
        <f t="shared" si="66"/>
        <v>0.156</v>
      </c>
      <c r="AA175">
        <v>0</v>
      </c>
      <c r="AB175">
        <v>578.28</v>
      </c>
      <c r="AC175">
        <v>490.55</v>
      </c>
      <c r="AD175">
        <v>0</v>
      </c>
      <c r="AE175">
        <v>0</v>
      </c>
      <c r="AF175">
        <v>477.92</v>
      </c>
      <c r="AG175">
        <v>490.55</v>
      </c>
      <c r="AH175">
        <v>0</v>
      </c>
      <c r="AI175">
        <v>1</v>
      </c>
      <c r="AJ175">
        <v>1.21</v>
      </c>
      <c r="AK175">
        <v>1</v>
      </c>
      <c r="AL175">
        <v>1</v>
      </c>
      <c r="AM175">
        <v>2</v>
      </c>
      <c r="AN175">
        <v>0</v>
      </c>
      <c r="AO175">
        <v>0</v>
      </c>
      <c r="AP175">
        <v>1</v>
      </c>
      <c r="AQ175">
        <v>1</v>
      </c>
      <c r="AR175">
        <v>0</v>
      </c>
      <c r="AS175" t="s">
        <v>3</v>
      </c>
      <c r="AT175">
        <v>0.52</v>
      </c>
      <c r="AU175" t="s">
        <v>223</v>
      </c>
      <c r="AV175">
        <v>1</v>
      </c>
      <c r="AW175">
        <v>2</v>
      </c>
      <c r="AX175">
        <v>65171458</v>
      </c>
      <c r="AY175">
        <v>1</v>
      </c>
      <c r="AZ175">
        <v>0</v>
      </c>
      <c r="BA175">
        <v>170</v>
      </c>
      <c r="BB175">
        <v>1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248.51840000000001</v>
      </c>
      <c r="BL175">
        <v>255.08600000000001</v>
      </c>
      <c r="BM175">
        <v>0</v>
      </c>
      <c r="BN175">
        <v>0</v>
      </c>
      <c r="BO175">
        <v>0.52</v>
      </c>
      <c r="BP175">
        <v>1</v>
      </c>
      <c r="BQ175">
        <v>0</v>
      </c>
      <c r="BR175">
        <v>74.555520000000001</v>
      </c>
      <c r="BS175">
        <v>76.525800000000004</v>
      </c>
      <c r="BT175">
        <v>0</v>
      </c>
      <c r="BU175">
        <v>0</v>
      </c>
      <c r="BV175">
        <v>0.156</v>
      </c>
      <c r="BW175">
        <v>1</v>
      </c>
      <c r="CV175">
        <v>0</v>
      </c>
      <c r="CW175">
        <f>ROUND(Y175*Source!I124*DO175,7)</f>
        <v>1.56E-3</v>
      </c>
      <c r="CX175">
        <f>ROUND(Y175*Source!I124,7)</f>
        <v>1.56E-3</v>
      </c>
      <c r="CY175">
        <f>AB175</f>
        <v>578.28</v>
      </c>
      <c r="CZ175">
        <f>AF175</f>
        <v>477.92</v>
      </c>
      <c r="DA175">
        <f>AJ175</f>
        <v>1.21</v>
      </c>
      <c r="DB175">
        <f t="shared" si="67"/>
        <v>74.555999999999997</v>
      </c>
      <c r="DC175">
        <f t="shared" si="68"/>
        <v>76.527000000000001</v>
      </c>
      <c r="DD175" t="s">
        <v>3</v>
      </c>
      <c r="DE175" t="s">
        <v>3</v>
      </c>
      <c r="DF175">
        <f t="shared" si="65"/>
        <v>0</v>
      </c>
      <c r="DG175">
        <f>ROUND(ROUND(AF175*AJ175,2)*CX175,2)</f>
        <v>0.9</v>
      </c>
      <c r="DH175">
        <f t="shared" si="53"/>
        <v>0.77</v>
      </c>
      <c r="DI175">
        <f t="shared" si="55"/>
        <v>0</v>
      </c>
      <c r="DJ175">
        <f>DG175+DH175</f>
        <v>1.67</v>
      </c>
      <c r="DK175">
        <v>0</v>
      </c>
      <c r="DL175" t="s">
        <v>523</v>
      </c>
      <c r="DM175">
        <v>4</v>
      </c>
      <c r="DN175" t="s">
        <v>509</v>
      </c>
      <c r="DO175">
        <v>1</v>
      </c>
    </row>
    <row r="176" spans="1:119" x14ac:dyDescent="0.2">
      <c r="A176">
        <f>ROW(Source!A124)</f>
        <v>124</v>
      </c>
      <c r="B176">
        <v>65170852</v>
      </c>
      <c r="C176">
        <v>65171439</v>
      </c>
      <c r="D176">
        <v>56573157</v>
      </c>
      <c r="E176">
        <v>1</v>
      </c>
      <c r="F176">
        <v>1</v>
      </c>
      <c r="G176">
        <v>1</v>
      </c>
      <c r="H176">
        <v>2</v>
      </c>
      <c r="I176" t="s">
        <v>712</v>
      </c>
      <c r="J176" t="s">
        <v>713</v>
      </c>
      <c r="K176" t="s">
        <v>714</v>
      </c>
      <c r="L176">
        <v>1368</v>
      </c>
      <c r="N176">
        <v>1011</v>
      </c>
      <c r="O176" t="s">
        <v>515</v>
      </c>
      <c r="P176" t="s">
        <v>515</v>
      </c>
      <c r="Q176">
        <v>1</v>
      </c>
      <c r="W176">
        <v>0</v>
      </c>
      <c r="X176">
        <v>1608197590</v>
      </c>
      <c r="Y176">
        <f t="shared" si="66"/>
        <v>0.72</v>
      </c>
      <c r="AA176">
        <v>0</v>
      </c>
      <c r="AB176">
        <v>176.5</v>
      </c>
      <c r="AC176">
        <v>490.55</v>
      </c>
      <c r="AD176">
        <v>0</v>
      </c>
      <c r="AE176">
        <v>0</v>
      </c>
      <c r="AF176">
        <v>176.5</v>
      </c>
      <c r="AG176">
        <v>490.55</v>
      </c>
      <c r="AH176">
        <v>0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0</v>
      </c>
      <c r="AP176">
        <v>1</v>
      </c>
      <c r="AQ176">
        <v>1</v>
      </c>
      <c r="AR176">
        <v>0</v>
      </c>
      <c r="AS176" t="s">
        <v>3</v>
      </c>
      <c r="AT176">
        <v>2.4</v>
      </c>
      <c r="AU176" t="s">
        <v>223</v>
      </c>
      <c r="AV176">
        <v>1</v>
      </c>
      <c r="AW176">
        <v>2</v>
      </c>
      <c r="AX176">
        <v>65171459</v>
      </c>
      <c r="AY176">
        <v>1</v>
      </c>
      <c r="AZ176">
        <v>0</v>
      </c>
      <c r="BA176">
        <v>171</v>
      </c>
      <c r="BB176">
        <v>1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423.59999999999997</v>
      </c>
      <c r="BL176">
        <v>1177.32</v>
      </c>
      <c r="BM176">
        <v>0</v>
      </c>
      <c r="BN176">
        <v>0</v>
      </c>
      <c r="BO176">
        <v>2.4</v>
      </c>
      <c r="BP176">
        <v>1</v>
      </c>
      <c r="BQ176">
        <v>0</v>
      </c>
      <c r="BR176">
        <v>127.08</v>
      </c>
      <c r="BS176">
        <v>353.19599999999997</v>
      </c>
      <c r="BT176">
        <v>0</v>
      </c>
      <c r="BU176">
        <v>0</v>
      </c>
      <c r="BV176">
        <v>0.72</v>
      </c>
      <c r="BW176">
        <v>1</v>
      </c>
      <c r="CV176">
        <v>0</v>
      </c>
      <c r="CW176">
        <f>ROUND(Y176*Source!I124*DO176,7)</f>
        <v>7.1999999999999998E-3</v>
      </c>
      <c r="CX176">
        <f>ROUND(Y176*Source!I124,7)</f>
        <v>7.1999999999999998E-3</v>
      </c>
      <c r="CY176">
        <f>AB176</f>
        <v>176.5</v>
      </c>
      <c r="CZ176">
        <f>AF176</f>
        <v>176.5</v>
      </c>
      <c r="DA176">
        <f>AJ176</f>
        <v>1</v>
      </c>
      <c r="DB176">
        <f t="shared" si="67"/>
        <v>127.08</v>
      </c>
      <c r="DC176">
        <f t="shared" si="68"/>
        <v>353.19600000000003</v>
      </c>
      <c r="DD176" t="s">
        <v>3</v>
      </c>
      <c r="DE176" t="s">
        <v>3</v>
      </c>
      <c r="DF176">
        <f t="shared" si="65"/>
        <v>0</v>
      </c>
      <c r="DG176">
        <f>ROUND(ROUND(AF176,2)*CX176,2)</f>
        <v>1.27</v>
      </c>
      <c r="DH176">
        <f t="shared" si="53"/>
        <v>3.53</v>
      </c>
      <c r="DI176">
        <f t="shared" si="55"/>
        <v>0</v>
      </c>
      <c r="DJ176">
        <f>DG176+DH176</f>
        <v>4.8</v>
      </c>
      <c r="DK176">
        <v>1</v>
      </c>
      <c r="DL176" t="s">
        <v>523</v>
      </c>
      <c r="DM176">
        <v>4</v>
      </c>
      <c r="DN176" t="s">
        <v>509</v>
      </c>
      <c r="DO176">
        <v>1</v>
      </c>
    </row>
    <row r="177" spans="1:119" x14ac:dyDescent="0.2">
      <c r="A177">
        <f>ROW(Source!A125)</f>
        <v>125</v>
      </c>
      <c r="B177">
        <v>65170852</v>
      </c>
      <c r="C177">
        <v>65171463</v>
      </c>
      <c r="D177">
        <v>37071037</v>
      </c>
      <c r="E177">
        <v>108</v>
      </c>
      <c r="F177">
        <v>1</v>
      </c>
      <c r="G177">
        <v>1</v>
      </c>
      <c r="H177">
        <v>1</v>
      </c>
      <c r="I177" t="s">
        <v>653</v>
      </c>
      <c r="J177" t="s">
        <v>3</v>
      </c>
      <c r="K177" t="s">
        <v>654</v>
      </c>
      <c r="L177">
        <v>1191</v>
      </c>
      <c r="N177">
        <v>1013</v>
      </c>
      <c r="O177" t="s">
        <v>509</v>
      </c>
      <c r="P177" t="s">
        <v>509</v>
      </c>
      <c r="Q177">
        <v>1</v>
      </c>
      <c r="W177">
        <v>0</v>
      </c>
      <c r="X177">
        <v>-1111239348</v>
      </c>
      <c r="Y177">
        <f t="shared" si="66"/>
        <v>0.12</v>
      </c>
      <c r="AA177">
        <v>0</v>
      </c>
      <c r="AB177">
        <v>0</v>
      </c>
      <c r="AC177">
        <v>0</v>
      </c>
      <c r="AD177">
        <v>490.55</v>
      </c>
      <c r="AE177">
        <v>0</v>
      </c>
      <c r="AF177">
        <v>0</v>
      </c>
      <c r="AG177">
        <v>0</v>
      </c>
      <c r="AH177">
        <v>490.55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0</v>
      </c>
      <c r="AP177">
        <v>1</v>
      </c>
      <c r="AQ177">
        <v>1</v>
      </c>
      <c r="AR177">
        <v>0</v>
      </c>
      <c r="AS177" t="s">
        <v>3</v>
      </c>
      <c r="AT177">
        <v>0.4</v>
      </c>
      <c r="AU177" t="s">
        <v>223</v>
      </c>
      <c r="AV177">
        <v>1</v>
      </c>
      <c r="AW177">
        <v>2</v>
      </c>
      <c r="AX177">
        <v>65171469</v>
      </c>
      <c r="AY177">
        <v>1</v>
      </c>
      <c r="AZ177">
        <v>0</v>
      </c>
      <c r="BA177">
        <v>175</v>
      </c>
      <c r="BB177">
        <v>1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196.22000000000003</v>
      </c>
      <c r="BN177">
        <v>0.4</v>
      </c>
      <c r="BO177">
        <v>0</v>
      </c>
      <c r="BP177">
        <v>1</v>
      </c>
      <c r="BQ177">
        <v>0</v>
      </c>
      <c r="BR177">
        <v>0</v>
      </c>
      <c r="BS177">
        <v>0</v>
      </c>
      <c r="BT177">
        <v>58.866</v>
      </c>
      <c r="BU177">
        <v>0.12</v>
      </c>
      <c r="BV177">
        <v>0</v>
      </c>
      <c r="BW177">
        <v>1</v>
      </c>
      <c r="CU177">
        <f>ROUND(AT177*Source!I125*AH177*AL177,2)</f>
        <v>588.66</v>
      </c>
      <c r="CV177">
        <f>ROUND(Y177*Source!I125,7)</f>
        <v>0.36</v>
      </c>
      <c r="CW177">
        <v>0</v>
      </c>
      <c r="CX177">
        <f>ROUND(Y177*Source!I125,7)</f>
        <v>0.36</v>
      </c>
      <c r="CY177">
        <f>AD177</f>
        <v>490.55</v>
      </c>
      <c r="CZ177">
        <f>AH177</f>
        <v>490.55</v>
      </c>
      <c r="DA177">
        <f>AL177</f>
        <v>1</v>
      </c>
      <c r="DB177">
        <f t="shared" si="67"/>
        <v>58.866</v>
      </c>
      <c r="DC177">
        <f t="shared" si="68"/>
        <v>0</v>
      </c>
      <c r="DD177" t="s">
        <v>3</v>
      </c>
      <c r="DE177" t="s">
        <v>3</v>
      </c>
      <c r="DF177">
        <f t="shared" si="65"/>
        <v>0</v>
      </c>
      <c r="DG177">
        <f>ROUND(ROUND(AF177,2)*CX177,2)</f>
        <v>0</v>
      </c>
      <c r="DH177">
        <f t="shared" si="53"/>
        <v>0</v>
      </c>
      <c r="DI177">
        <f t="shared" si="55"/>
        <v>176.6</v>
      </c>
      <c r="DJ177">
        <f>DI177</f>
        <v>176.6</v>
      </c>
      <c r="DK177">
        <v>1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ROW(Source!A125)</f>
        <v>125</v>
      </c>
      <c r="B178">
        <v>65170852</v>
      </c>
      <c r="C178">
        <v>65171463</v>
      </c>
      <c r="D178">
        <v>37064876</v>
      </c>
      <c r="E178">
        <v>108</v>
      </c>
      <c r="F178">
        <v>1</v>
      </c>
      <c r="G178">
        <v>1</v>
      </c>
      <c r="H178">
        <v>1</v>
      </c>
      <c r="I178" t="s">
        <v>510</v>
      </c>
      <c r="J178" t="s">
        <v>3</v>
      </c>
      <c r="K178" t="s">
        <v>511</v>
      </c>
      <c r="L178">
        <v>1191</v>
      </c>
      <c r="N178">
        <v>1013</v>
      </c>
      <c r="O178" t="s">
        <v>509</v>
      </c>
      <c r="P178" t="s">
        <v>509</v>
      </c>
      <c r="Q178">
        <v>1</v>
      </c>
      <c r="W178">
        <v>0</v>
      </c>
      <c r="X178">
        <v>-1417349443</v>
      </c>
      <c r="Y178">
        <f t="shared" si="66"/>
        <v>3.0000000000000001E-3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0</v>
      </c>
      <c r="AP178">
        <v>1</v>
      </c>
      <c r="AQ178">
        <v>1</v>
      </c>
      <c r="AR178">
        <v>0</v>
      </c>
      <c r="AS178" t="s">
        <v>3</v>
      </c>
      <c r="AT178">
        <v>0.01</v>
      </c>
      <c r="AU178" t="s">
        <v>223</v>
      </c>
      <c r="AV178">
        <v>2</v>
      </c>
      <c r="AW178">
        <v>2</v>
      </c>
      <c r="AX178">
        <v>65171470</v>
      </c>
      <c r="AY178">
        <v>1</v>
      </c>
      <c r="AZ178">
        <v>0</v>
      </c>
      <c r="BA178">
        <v>176</v>
      </c>
      <c r="BB178">
        <v>1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v>0</v>
      </c>
      <c r="CX178">
        <f>ROUND(Y178*Source!I125,7)</f>
        <v>8.9999999999999993E-3</v>
      </c>
      <c r="CY178">
        <f>AD178</f>
        <v>0</v>
      </c>
      <c r="CZ178">
        <f>AH178</f>
        <v>0</v>
      </c>
      <c r="DA178">
        <f>AL178</f>
        <v>1</v>
      </c>
      <c r="DB178">
        <f t="shared" si="67"/>
        <v>0</v>
      </c>
      <c r="DC178">
        <f t="shared" si="68"/>
        <v>0</v>
      </c>
      <c r="DD178" t="s">
        <v>3</v>
      </c>
      <c r="DE178" t="s">
        <v>3</v>
      </c>
      <c r="DF178">
        <f t="shared" si="65"/>
        <v>0</v>
      </c>
      <c r="DG178">
        <f>ROUND(ROUND(AF178,2)*CX178,2)</f>
        <v>0</v>
      </c>
      <c r="DH178">
        <f t="shared" si="53"/>
        <v>0</v>
      </c>
      <c r="DI178">
        <f t="shared" si="55"/>
        <v>0</v>
      </c>
      <c r="DJ178">
        <f>DI178</f>
        <v>0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ROW(Source!A125)</f>
        <v>125</v>
      </c>
      <c r="B179">
        <v>65170852</v>
      </c>
      <c r="C179">
        <v>65171463</v>
      </c>
      <c r="D179">
        <v>56571417</v>
      </c>
      <c r="E179">
        <v>1</v>
      </c>
      <c r="F179">
        <v>1</v>
      </c>
      <c r="G179">
        <v>1</v>
      </c>
      <c r="H179">
        <v>2</v>
      </c>
      <c r="I179" t="s">
        <v>512</v>
      </c>
      <c r="J179" t="s">
        <v>513</v>
      </c>
      <c r="K179" t="s">
        <v>514</v>
      </c>
      <c r="L179">
        <v>1368</v>
      </c>
      <c r="N179">
        <v>1011</v>
      </c>
      <c r="O179" t="s">
        <v>515</v>
      </c>
      <c r="P179" t="s">
        <v>515</v>
      </c>
      <c r="Q179">
        <v>1</v>
      </c>
      <c r="W179">
        <v>0</v>
      </c>
      <c r="X179">
        <v>-848025172</v>
      </c>
      <c r="Y179">
        <f t="shared" si="66"/>
        <v>2.0999999999999999E-3</v>
      </c>
      <c r="AA179">
        <v>0</v>
      </c>
      <c r="AB179">
        <v>1551.19</v>
      </c>
      <c r="AC179">
        <v>658.94</v>
      </c>
      <c r="AD179">
        <v>0</v>
      </c>
      <c r="AE179">
        <v>0</v>
      </c>
      <c r="AF179">
        <v>1551.19</v>
      </c>
      <c r="AG179">
        <v>658.94</v>
      </c>
      <c r="AH179">
        <v>0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0</v>
      </c>
      <c r="AP179">
        <v>1</v>
      </c>
      <c r="AQ179">
        <v>1</v>
      </c>
      <c r="AR179">
        <v>0</v>
      </c>
      <c r="AS179" t="s">
        <v>3</v>
      </c>
      <c r="AT179">
        <v>7.0000000000000001E-3</v>
      </c>
      <c r="AU179" t="s">
        <v>223</v>
      </c>
      <c r="AV179">
        <v>1</v>
      </c>
      <c r="AW179">
        <v>2</v>
      </c>
      <c r="AX179">
        <v>65171471</v>
      </c>
      <c r="AY179">
        <v>1</v>
      </c>
      <c r="AZ179">
        <v>0</v>
      </c>
      <c r="BA179">
        <v>177</v>
      </c>
      <c r="BB179">
        <v>1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10.85833</v>
      </c>
      <c r="BL179">
        <v>4.6125800000000003</v>
      </c>
      <c r="BM179">
        <v>0</v>
      </c>
      <c r="BN179">
        <v>0</v>
      </c>
      <c r="BO179">
        <v>7.0000000000000001E-3</v>
      </c>
      <c r="BP179">
        <v>1</v>
      </c>
      <c r="BQ179">
        <v>0</v>
      </c>
      <c r="BR179">
        <v>3.2574989999999997</v>
      </c>
      <c r="BS179">
        <v>1.3837740000000001</v>
      </c>
      <c r="BT179">
        <v>0</v>
      </c>
      <c r="BU179">
        <v>0</v>
      </c>
      <c r="BV179">
        <v>2.0999999999999999E-3</v>
      </c>
      <c r="BW179">
        <v>1</v>
      </c>
      <c r="CV179">
        <v>0</v>
      </c>
      <c r="CW179">
        <f>ROUND(Y179*Source!I125*DO179,7)</f>
        <v>6.3E-3</v>
      </c>
      <c r="CX179">
        <f>ROUND(Y179*Source!I125,7)</f>
        <v>6.3E-3</v>
      </c>
      <c r="CY179">
        <f>AB179</f>
        <v>1551.19</v>
      </c>
      <c r="CZ179">
        <f>AF179</f>
        <v>1551.19</v>
      </c>
      <c r="DA179">
        <f>AJ179</f>
        <v>1</v>
      </c>
      <c r="DB179">
        <f t="shared" si="67"/>
        <v>3.258</v>
      </c>
      <c r="DC179">
        <f t="shared" si="68"/>
        <v>1.383</v>
      </c>
      <c r="DD179" t="s">
        <v>3</v>
      </c>
      <c r="DE179" t="s">
        <v>3</v>
      </c>
      <c r="DF179">
        <f t="shared" si="65"/>
        <v>0</v>
      </c>
      <c r="DG179">
        <f>ROUND(ROUND(AF179,2)*CX179,2)</f>
        <v>9.77</v>
      </c>
      <c r="DH179">
        <f t="shared" si="53"/>
        <v>4.1500000000000004</v>
      </c>
      <c r="DI179">
        <f t="shared" si="55"/>
        <v>0</v>
      </c>
      <c r="DJ179">
        <f>DG179+DH179</f>
        <v>13.92</v>
      </c>
      <c r="DK179">
        <v>1</v>
      </c>
      <c r="DL179" t="s">
        <v>516</v>
      </c>
      <c r="DM179">
        <v>6</v>
      </c>
      <c r="DN179" t="s">
        <v>509</v>
      </c>
      <c r="DO179">
        <v>1</v>
      </c>
    </row>
    <row r="180" spans="1:119" x14ac:dyDescent="0.2">
      <c r="A180">
        <f>ROW(Source!A125)</f>
        <v>125</v>
      </c>
      <c r="B180">
        <v>65170852</v>
      </c>
      <c r="C180">
        <v>65171463</v>
      </c>
      <c r="D180">
        <v>56572833</v>
      </c>
      <c r="E180">
        <v>1</v>
      </c>
      <c r="F180">
        <v>1</v>
      </c>
      <c r="G180">
        <v>1</v>
      </c>
      <c r="H180">
        <v>2</v>
      </c>
      <c r="I180" t="s">
        <v>520</v>
      </c>
      <c r="J180" t="s">
        <v>521</v>
      </c>
      <c r="K180" t="s">
        <v>522</v>
      </c>
      <c r="L180">
        <v>1368</v>
      </c>
      <c r="N180">
        <v>1011</v>
      </c>
      <c r="O180" t="s">
        <v>515</v>
      </c>
      <c r="P180" t="s">
        <v>515</v>
      </c>
      <c r="Q180">
        <v>1</v>
      </c>
      <c r="W180">
        <v>0</v>
      </c>
      <c r="X180">
        <v>1230426758</v>
      </c>
      <c r="Y180">
        <f t="shared" si="66"/>
        <v>2.0999999999999999E-3</v>
      </c>
      <c r="AA180">
        <v>0</v>
      </c>
      <c r="AB180">
        <v>578.28</v>
      </c>
      <c r="AC180">
        <v>490.55</v>
      </c>
      <c r="AD180">
        <v>0</v>
      </c>
      <c r="AE180">
        <v>0</v>
      </c>
      <c r="AF180">
        <v>477.92</v>
      </c>
      <c r="AG180">
        <v>490.55</v>
      </c>
      <c r="AH180">
        <v>0</v>
      </c>
      <c r="AI180">
        <v>1</v>
      </c>
      <c r="AJ180">
        <v>1.21</v>
      </c>
      <c r="AK180">
        <v>1</v>
      </c>
      <c r="AL180">
        <v>1</v>
      </c>
      <c r="AM180">
        <v>2</v>
      </c>
      <c r="AN180">
        <v>0</v>
      </c>
      <c r="AO180">
        <v>0</v>
      </c>
      <c r="AP180">
        <v>1</v>
      </c>
      <c r="AQ180">
        <v>1</v>
      </c>
      <c r="AR180">
        <v>0</v>
      </c>
      <c r="AS180" t="s">
        <v>3</v>
      </c>
      <c r="AT180">
        <v>7.0000000000000001E-3</v>
      </c>
      <c r="AU180" t="s">
        <v>223</v>
      </c>
      <c r="AV180">
        <v>1</v>
      </c>
      <c r="AW180">
        <v>2</v>
      </c>
      <c r="AX180">
        <v>65171472</v>
      </c>
      <c r="AY180">
        <v>1</v>
      </c>
      <c r="AZ180">
        <v>0</v>
      </c>
      <c r="BA180">
        <v>178</v>
      </c>
      <c r="BB180">
        <v>1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3.34544</v>
      </c>
      <c r="BL180">
        <v>3.4338500000000001</v>
      </c>
      <c r="BM180">
        <v>0</v>
      </c>
      <c r="BN180">
        <v>0</v>
      </c>
      <c r="BO180">
        <v>7.0000000000000001E-3</v>
      </c>
      <c r="BP180">
        <v>1</v>
      </c>
      <c r="BQ180">
        <v>0</v>
      </c>
      <c r="BR180">
        <v>1.0036320000000001</v>
      </c>
      <c r="BS180">
        <v>1.0301549999999999</v>
      </c>
      <c r="BT180">
        <v>0</v>
      </c>
      <c r="BU180">
        <v>0</v>
      </c>
      <c r="BV180">
        <v>2.0999999999999999E-3</v>
      </c>
      <c r="BW180">
        <v>1</v>
      </c>
      <c r="CV180">
        <v>0</v>
      </c>
      <c r="CW180">
        <f>ROUND(Y180*Source!I125*DO180,7)</f>
        <v>6.3E-3</v>
      </c>
      <c r="CX180">
        <f>ROUND(Y180*Source!I125,7)</f>
        <v>6.3E-3</v>
      </c>
      <c r="CY180">
        <f>AB180</f>
        <v>578.28</v>
      </c>
      <c r="CZ180">
        <f>AF180</f>
        <v>477.92</v>
      </c>
      <c r="DA180">
        <f>AJ180</f>
        <v>1.21</v>
      </c>
      <c r="DB180">
        <f t="shared" si="67"/>
        <v>1.0049999999999999</v>
      </c>
      <c r="DC180">
        <f t="shared" si="68"/>
        <v>1.0289999999999999</v>
      </c>
      <c r="DD180" t="s">
        <v>3</v>
      </c>
      <c r="DE180" t="s">
        <v>3</v>
      </c>
      <c r="DF180">
        <f t="shared" si="65"/>
        <v>0</v>
      </c>
      <c r="DG180">
        <f>ROUND(ROUND(AF180*AJ180,2)*CX180,2)</f>
        <v>3.64</v>
      </c>
      <c r="DH180">
        <f t="shared" si="53"/>
        <v>3.09</v>
      </c>
      <c r="DI180">
        <f t="shared" si="55"/>
        <v>0</v>
      </c>
      <c r="DJ180">
        <f>DG180+DH180</f>
        <v>6.73</v>
      </c>
      <c r="DK180">
        <v>0</v>
      </c>
      <c r="DL180" t="s">
        <v>523</v>
      </c>
      <c r="DM180">
        <v>4</v>
      </c>
      <c r="DN180" t="s">
        <v>509</v>
      </c>
      <c r="DO180">
        <v>1</v>
      </c>
    </row>
    <row r="181" spans="1:119" x14ac:dyDescent="0.2">
      <c r="A181">
        <f>ROW(Source!A125)</f>
        <v>125</v>
      </c>
      <c r="B181">
        <v>65170852</v>
      </c>
      <c r="C181">
        <v>65171463</v>
      </c>
      <c r="D181">
        <v>56580368</v>
      </c>
      <c r="E181">
        <v>1</v>
      </c>
      <c r="F181">
        <v>1</v>
      </c>
      <c r="G181">
        <v>1</v>
      </c>
      <c r="H181">
        <v>3</v>
      </c>
      <c r="I181" t="s">
        <v>553</v>
      </c>
      <c r="J181" t="s">
        <v>554</v>
      </c>
      <c r="K181" t="s">
        <v>555</v>
      </c>
      <c r="L181">
        <v>1346</v>
      </c>
      <c r="N181">
        <v>1009</v>
      </c>
      <c r="O181" t="s">
        <v>549</v>
      </c>
      <c r="P181" t="s">
        <v>549</v>
      </c>
      <c r="Q181">
        <v>1</v>
      </c>
      <c r="W181">
        <v>0</v>
      </c>
      <c r="X181">
        <v>-385218612</v>
      </c>
      <c r="Y181">
        <f>(AT181*ROUND(0,7))</f>
        <v>0</v>
      </c>
      <c r="AA181">
        <v>201.17</v>
      </c>
      <c r="AB181">
        <v>0</v>
      </c>
      <c r="AC181">
        <v>0</v>
      </c>
      <c r="AD181">
        <v>0</v>
      </c>
      <c r="AE181">
        <v>174.93</v>
      </c>
      <c r="AF181">
        <v>0</v>
      </c>
      <c r="AG181">
        <v>0</v>
      </c>
      <c r="AH181">
        <v>0</v>
      </c>
      <c r="AI181">
        <v>1.1499999999999999</v>
      </c>
      <c r="AJ181">
        <v>1</v>
      </c>
      <c r="AK181">
        <v>1</v>
      </c>
      <c r="AL181">
        <v>1</v>
      </c>
      <c r="AM181">
        <v>2</v>
      </c>
      <c r="AN181">
        <v>0</v>
      </c>
      <c r="AO181">
        <v>0</v>
      </c>
      <c r="AP181">
        <v>1</v>
      </c>
      <c r="AQ181">
        <v>1</v>
      </c>
      <c r="AR181">
        <v>0</v>
      </c>
      <c r="AS181" t="s">
        <v>3</v>
      </c>
      <c r="AT181">
        <v>0.08</v>
      </c>
      <c r="AU181" t="s">
        <v>97</v>
      </c>
      <c r="AV181">
        <v>0</v>
      </c>
      <c r="AW181">
        <v>2</v>
      </c>
      <c r="AX181">
        <v>65171473</v>
      </c>
      <c r="AY181">
        <v>1</v>
      </c>
      <c r="AZ181">
        <v>0</v>
      </c>
      <c r="BA181">
        <v>179</v>
      </c>
      <c r="BB181">
        <v>1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13.994400000000001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1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V181">
        <v>0</v>
      </c>
      <c r="CW181">
        <v>0</v>
      </c>
      <c r="CX181">
        <f>ROUND(Y181*Source!I125,7)</f>
        <v>0</v>
      </c>
      <c r="CY181">
        <f>AA181</f>
        <v>201.17</v>
      </c>
      <c r="CZ181">
        <f>AE181</f>
        <v>174.93</v>
      </c>
      <c r="DA181">
        <f>AI181</f>
        <v>1.1499999999999999</v>
      </c>
      <c r="DB181">
        <f>ROUND((ROUND(AT181*CZ181,2)*ROUND(0,7)),6)</f>
        <v>0</v>
      </c>
      <c r="DC181">
        <f>ROUND((ROUND(AT181*AG181,2)*ROUND(0,7)),6)</f>
        <v>0</v>
      </c>
      <c r="DD181" t="s">
        <v>3</v>
      </c>
      <c r="DE181" t="s">
        <v>3</v>
      </c>
      <c r="DF181">
        <f>ROUND(ROUND(AE181*AI181,2)*CX181,2)</f>
        <v>0</v>
      </c>
      <c r="DG181">
        <f>ROUND(ROUND(AF181,2)*CX181,2)</f>
        <v>0</v>
      </c>
      <c r="DH181">
        <f t="shared" si="53"/>
        <v>0</v>
      </c>
      <c r="DI181">
        <f t="shared" si="55"/>
        <v>0</v>
      </c>
      <c r="DJ181">
        <f>DF181</f>
        <v>0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ROW(Source!A126)</f>
        <v>126</v>
      </c>
      <c r="B182">
        <v>65170852</v>
      </c>
      <c r="C182">
        <v>65171475</v>
      </c>
      <c r="D182">
        <v>37064878</v>
      </c>
      <c r="E182">
        <v>108</v>
      </c>
      <c r="F182">
        <v>1</v>
      </c>
      <c r="G182">
        <v>1</v>
      </c>
      <c r="H182">
        <v>1</v>
      </c>
      <c r="I182" t="s">
        <v>715</v>
      </c>
      <c r="J182" t="s">
        <v>3</v>
      </c>
      <c r="K182" t="s">
        <v>716</v>
      </c>
      <c r="L182">
        <v>1191</v>
      </c>
      <c r="N182">
        <v>1013</v>
      </c>
      <c r="O182" t="s">
        <v>509</v>
      </c>
      <c r="P182" t="s">
        <v>509</v>
      </c>
      <c r="Q182">
        <v>1</v>
      </c>
      <c r="W182">
        <v>0</v>
      </c>
      <c r="X182">
        <v>-2012709214</v>
      </c>
      <c r="Y182">
        <f>(AT182*ROUND(0.3,7))</f>
        <v>3.0900000000000003</v>
      </c>
      <c r="AA182">
        <v>0</v>
      </c>
      <c r="AB182">
        <v>0</v>
      </c>
      <c r="AC182">
        <v>0</v>
      </c>
      <c r="AD182">
        <v>479.56</v>
      </c>
      <c r="AE182">
        <v>0</v>
      </c>
      <c r="AF182">
        <v>0</v>
      </c>
      <c r="AG182">
        <v>0</v>
      </c>
      <c r="AH182">
        <v>479.56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0</v>
      </c>
      <c r="AP182">
        <v>1</v>
      </c>
      <c r="AQ182">
        <v>1</v>
      </c>
      <c r="AR182">
        <v>0</v>
      </c>
      <c r="AS182" t="s">
        <v>3</v>
      </c>
      <c r="AT182">
        <v>10.3</v>
      </c>
      <c r="AU182" t="s">
        <v>223</v>
      </c>
      <c r="AV182">
        <v>1</v>
      </c>
      <c r="AW182">
        <v>2</v>
      </c>
      <c r="AX182">
        <v>65171483</v>
      </c>
      <c r="AY182">
        <v>1</v>
      </c>
      <c r="AZ182">
        <v>0</v>
      </c>
      <c r="BA182">
        <v>181</v>
      </c>
      <c r="BB182">
        <v>1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4939.4680000000008</v>
      </c>
      <c r="BN182">
        <v>10.3</v>
      </c>
      <c r="BO182">
        <v>0</v>
      </c>
      <c r="BP182">
        <v>1</v>
      </c>
      <c r="BQ182">
        <v>0</v>
      </c>
      <c r="BR182">
        <v>0</v>
      </c>
      <c r="BS182">
        <v>0</v>
      </c>
      <c r="BT182">
        <v>1481.8404</v>
      </c>
      <c r="BU182">
        <v>3.0900000000000003</v>
      </c>
      <c r="BV182">
        <v>0</v>
      </c>
      <c r="BW182">
        <v>1</v>
      </c>
      <c r="CU182">
        <f>ROUND(AT182*Source!I126*AH182*AL182,2)</f>
        <v>3951.57</v>
      </c>
      <c r="CV182">
        <f>ROUND(Y182*Source!I126,7)</f>
        <v>2.472</v>
      </c>
      <c r="CW182">
        <v>0</v>
      </c>
      <c r="CX182">
        <f>ROUND(Y182*Source!I126,7)</f>
        <v>2.472</v>
      </c>
      <c r="CY182">
        <f>AD182</f>
        <v>479.56</v>
      </c>
      <c r="CZ182">
        <f>AH182</f>
        <v>479.56</v>
      </c>
      <c r="DA182">
        <f>AL182</f>
        <v>1</v>
      </c>
      <c r="DB182">
        <f>ROUND((ROUND(AT182*CZ182,2)*ROUND(0.3,7)),6)</f>
        <v>1481.8409999999999</v>
      </c>
      <c r="DC182">
        <f>ROUND((ROUND(AT182*AG182,2)*ROUND(0.3,7)),6)</f>
        <v>0</v>
      </c>
      <c r="DD182" t="s">
        <v>3</v>
      </c>
      <c r="DE182" t="s">
        <v>3</v>
      </c>
      <c r="DF182">
        <f>ROUND(ROUND(AE182,2)*CX182,2)</f>
        <v>0</v>
      </c>
      <c r="DG182">
        <f>ROUND(ROUND(AF182,2)*CX182,2)</f>
        <v>0</v>
      </c>
      <c r="DH182">
        <f t="shared" si="53"/>
        <v>0</v>
      </c>
      <c r="DI182">
        <f t="shared" si="55"/>
        <v>1185.47</v>
      </c>
      <c r="DJ182">
        <f>DI182</f>
        <v>1185.47</v>
      </c>
      <c r="DK182">
        <v>1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ROW(Source!A126)</f>
        <v>126</v>
      </c>
      <c r="B183">
        <v>65170852</v>
      </c>
      <c r="C183">
        <v>65171475</v>
      </c>
      <c r="D183">
        <v>37064876</v>
      </c>
      <c r="E183">
        <v>108</v>
      </c>
      <c r="F183">
        <v>1</v>
      </c>
      <c r="G183">
        <v>1</v>
      </c>
      <c r="H183">
        <v>1</v>
      </c>
      <c r="I183" t="s">
        <v>510</v>
      </c>
      <c r="J183" t="s">
        <v>3</v>
      </c>
      <c r="K183" t="s">
        <v>511</v>
      </c>
      <c r="L183">
        <v>1191</v>
      </c>
      <c r="N183">
        <v>1013</v>
      </c>
      <c r="O183" t="s">
        <v>509</v>
      </c>
      <c r="P183" t="s">
        <v>509</v>
      </c>
      <c r="Q183">
        <v>1</v>
      </c>
      <c r="W183">
        <v>0</v>
      </c>
      <c r="X183">
        <v>-1417349443</v>
      </c>
      <c r="Y183">
        <f>(AT183*ROUND(0.3,7))</f>
        <v>0.16200000000000001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0</v>
      </c>
      <c r="AP183">
        <v>1</v>
      </c>
      <c r="AQ183">
        <v>1</v>
      </c>
      <c r="AR183">
        <v>0</v>
      </c>
      <c r="AS183" t="s">
        <v>3</v>
      </c>
      <c r="AT183">
        <v>0.54</v>
      </c>
      <c r="AU183" t="s">
        <v>223</v>
      </c>
      <c r="AV183">
        <v>2</v>
      </c>
      <c r="AW183">
        <v>2</v>
      </c>
      <c r="AX183">
        <v>65171484</v>
      </c>
      <c r="AY183">
        <v>1</v>
      </c>
      <c r="AZ183">
        <v>0</v>
      </c>
      <c r="BA183">
        <v>182</v>
      </c>
      <c r="BB183">
        <v>1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V183">
        <v>0</v>
      </c>
      <c r="CW183">
        <v>0</v>
      </c>
      <c r="CX183">
        <f>ROUND(Y183*Source!I126,7)</f>
        <v>0.12959999999999999</v>
      </c>
      <c r="CY183">
        <f>AD183</f>
        <v>0</v>
      </c>
      <c r="CZ183">
        <f>AH183</f>
        <v>0</v>
      </c>
      <c r="DA183">
        <f>AL183</f>
        <v>1</v>
      </c>
      <c r="DB183">
        <f>ROUND((ROUND(AT183*CZ183,2)*ROUND(0.3,7)),6)</f>
        <v>0</v>
      </c>
      <c r="DC183">
        <f>ROUND((ROUND(AT183*AG183,2)*ROUND(0.3,7)),6)</f>
        <v>0</v>
      </c>
      <c r="DD183" t="s">
        <v>3</v>
      </c>
      <c r="DE183" t="s">
        <v>3</v>
      </c>
      <c r="DF183">
        <f>ROUND(ROUND(AE183,2)*CX183,2)</f>
        <v>0</v>
      </c>
      <c r="DG183">
        <f>ROUND(ROUND(AF183,2)*CX183,2)</f>
        <v>0</v>
      </c>
      <c r="DH183">
        <f t="shared" si="53"/>
        <v>0</v>
      </c>
      <c r="DI183">
        <f t="shared" si="55"/>
        <v>0</v>
      </c>
      <c r="DJ183">
        <f>DI183</f>
        <v>0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ROW(Source!A126)</f>
        <v>126</v>
      </c>
      <c r="B184">
        <v>65170852</v>
      </c>
      <c r="C184">
        <v>65171475</v>
      </c>
      <c r="D184">
        <v>56571417</v>
      </c>
      <c r="E184">
        <v>1</v>
      </c>
      <c r="F184">
        <v>1</v>
      </c>
      <c r="G184">
        <v>1</v>
      </c>
      <c r="H184">
        <v>2</v>
      </c>
      <c r="I184" t="s">
        <v>512</v>
      </c>
      <c r="J184" t="s">
        <v>513</v>
      </c>
      <c r="K184" t="s">
        <v>514</v>
      </c>
      <c r="L184">
        <v>1368</v>
      </c>
      <c r="N184">
        <v>1011</v>
      </c>
      <c r="O184" t="s">
        <v>515</v>
      </c>
      <c r="P184" t="s">
        <v>515</v>
      </c>
      <c r="Q184">
        <v>1</v>
      </c>
      <c r="W184">
        <v>0</v>
      </c>
      <c r="X184">
        <v>-848025172</v>
      </c>
      <c r="Y184">
        <f>(AT184*ROUND(0.3,7))</f>
        <v>8.1000000000000003E-2</v>
      </c>
      <c r="AA184">
        <v>0</v>
      </c>
      <c r="AB184">
        <v>1551.19</v>
      </c>
      <c r="AC184">
        <v>658.94</v>
      </c>
      <c r="AD184">
        <v>0</v>
      </c>
      <c r="AE184">
        <v>0</v>
      </c>
      <c r="AF184">
        <v>1551.19</v>
      </c>
      <c r="AG184">
        <v>658.94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0</v>
      </c>
      <c r="AP184">
        <v>1</v>
      </c>
      <c r="AQ184">
        <v>1</v>
      </c>
      <c r="AR184">
        <v>0</v>
      </c>
      <c r="AS184" t="s">
        <v>3</v>
      </c>
      <c r="AT184">
        <v>0.27</v>
      </c>
      <c r="AU184" t="s">
        <v>223</v>
      </c>
      <c r="AV184">
        <v>1</v>
      </c>
      <c r="AW184">
        <v>2</v>
      </c>
      <c r="AX184">
        <v>65171485</v>
      </c>
      <c r="AY184">
        <v>1</v>
      </c>
      <c r="AZ184">
        <v>0</v>
      </c>
      <c r="BA184">
        <v>183</v>
      </c>
      <c r="BB184">
        <v>1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418.82130000000006</v>
      </c>
      <c r="BL184">
        <v>177.91380000000004</v>
      </c>
      <c r="BM184">
        <v>0</v>
      </c>
      <c r="BN184">
        <v>0</v>
      </c>
      <c r="BO184">
        <v>0.27</v>
      </c>
      <c r="BP184">
        <v>1</v>
      </c>
      <c r="BQ184">
        <v>0</v>
      </c>
      <c r="BR184">
        <v>125.64639000000001</v>
      </c>
      <c r="BS184">
        <v>53.374140000000004</v>
      </c>
      <c r="BT184">
        <v>0</v>
      </c>
      <c r="BU184">
        <v>0</v>
      </c>
      <c r="BV184">
        <v>8.1000000000000003E-2</v>
      </c>
      <c r="BW184">
        <v>1</v>
      </c>
      <c r="CV184">
        <v>0</v>
      </c>
      <c r="CW184">
        <f>ROUND(Y184*Source!I126*DO184,7)</f>
        <v>6.4799999999999996E-2</v>
      </c>
      <c r="CX184">
        <f>ROUND(Y184*Source!I126,7)</f>
        <v>6.4799999999999996E-2</v>
      </c>
      <c r="CY184">
        <f>AB184</f>
        <v>1551.19</v>
      </c>
      <c r="CZ184">
        <f>AF184</f>
        <v>1551.19</v>
      </c>
      <c r="DA184">
        <f>AJ184</f>
        <v>1</v>
      </c>
      <c r="DB184">
        <f>ROUND((ROUND(AT184*CZ184,2)*ROUND(0.3,7)),6)</f>
        <v>125.646</v>
      </c>
      <c r="DC184">
        <f>ROUND((ROUND(AT184*AG184,2)*ROUND(0.3,7)),6)</f>
        <v>53.372999999999998</v>
      </c>
      <c r="DD184" t="s">
        <v>3</v>
      </c>
      <c r="DE184" t="s">
        <v>3</v>
      </c>
      <c r="DF184">
        <f>ROUND(ROUND(AE184,2)*CX184,2)</f>
        <v>0</v>
      </c>
      <c r="DG184">
        <f>ROUND(ROUND(AF184,2)*CX184,2)</f>
        <v>100.52</v>
      </c>
      <c r="DH184">
        <f t="shared" si="53"/>
        <v>42.7</v>
      </c>
      <c r="DI184">
        <f t="shared" si="55"/>
        <v>0</v>
      </c>
      <c r="DJ184">
        <f>DG184+DH184</f>
        <v>143.22</v>
      </c>
      <c r="DK184">
        <v>1</v>
      </c>
      <c r="DL184" t="s">
        <v>516</v>
      </c>
      <c r="DM184">
        <v>6</v>
      </c>
      <c r="DN184" t="s">
        <v>509</v>
      </c>
      <c r="DO184">
        <v>1</v>
      </c>
    </row>
    <row r="185" spans="1:119" x14ac:dyDescent="0.2">
      <c r="A185">
        <f>ROW(Source!A126)</f>
        <v>126</v>
      </c>
      <c r="B185">
        <v>65170852</v>
      </c>
      <c r="C185">
        <v>65171475</v>
      </c>
      <c r="D185">
        <v>56572833</v>
      </c>
      <c r="E185">
        <v>1</v>
      </c>
      <c r="F185">
        <v>1</v>
      </c>
      <c r="G185">
        <v>1</v>
      </c>
      <c r="H185">
        <v>2</v>
      </c>
      <c r="I185" t="s">
        <v>520</v>
      </c>
      <c r="J185" t="s">
        <v>521</v>
      </c>
      <c r="K185" t="s">
        <v>522</v>
      </c>
      <c r="L185">
        <v>1368</v>
      </c>
      <c r="N185">
        <v>1011</v>
      </c>
      <c r="O185" t="s">
        <v>515</v>
      </c>
      <c r="P185" t="s">
        <v>515</v>
      </c>
      <c r="Q185">
        <v>1</v>
      </c>
      <c r="W185">
        <v>0</v>
      </c>
      <c r="X185">
        <v>1230426758</v>
      </c>
      <c r="Y185">
        <f>(AT185*ROUND(0.3,7))</f>
        <v>8.1000000000000003E-2</v>
      </c>
      <c r="AA185">
        <v>0</v>
      </c>
      <c r="AB185">
        <v>578.28</v>
      </c>
      <c r="AC185">
        <v>490.55</v>
      </c>
      <c r="AD185">
        <v>0</v>
      </c>
      <c r="AE185">
        <v>0</v>
      </c>
      <c r="AF185">
        <v>477.92</v>
      </c>
      <c r="AG185">
        <v>490.55</v>
      </c>
      <c r="AH185">
        <v>0</v>
      </c>
      <c r="AI185">
        <v>1</v>
      </c>
      <c r="AJ185">
        <v>1.21</v>
      </c>
      <c r="AK185">
        <v>1</v>
      </c>
      <c r="AL185">
        <v>1</v>
      </c>
      <c r="AM185">
        <v>2</v>
      </c>
      <c r="AN185">
        <v>0</v>
      </c>
      <c r="AO185">
        <v>0</v>
      </c>
      <c r="AP185">
        <v>1</v>
      </c>
      <c r="AQ185">
        <v>1</v>
      </c>
      <c r="AR185">
        <v>0</v>
      </c>
      <c r="AS185" t="s">
        <v>3</v>
      </c>
      <c r="AT185">
        <v>0.27</v>
      </c>
      <c r="AU185" t="s">
        <v>223</v>
      </c>
      <c r="AV185">
        <v>1</v>
      </c>
      <c r="AW185">
        <v>2</v>
      </c>
      <c r="AX185">
        <v>65171486</v>
      </c>
      <c r="AY185">
        <v>1</v>
      </c>
      <c r="AZ185">
        <v>0</v>
      </c>
      <c r="BA185">
        <v>184</v>
      </c>
      <c r="BB185">
        <v>1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129.03840000000002</v>
      </c>
      <c r="BL185">
        <v>132.44850000000002</v>
      </c>
      <c r="BM185">
        <v>0</v>
      </c>
      <c r="BN185">
        <v>0</v>
      </c>
      <c r="BO185">
        <v>0.27</v>
      </c>
      <c r="BP185">
        <v>1</v>
      </c>
      <c r="BQ185">
        <v>0</v>
      </c>
      <c r="BR185">
        <v>38.71152</v>
      </c>
      <c r="BS185">
        <v>39.734549999999999</v>
      </c>
      <c r="BT185">
        <v>0</v>
      </c>
      <c r="BU185">
        <v>0</v>
      </c>
      <c r="BV185">
        <v>8.1000000000000003E-2</v>
      </c>
      <c r="BW185">
        <v>1</v>
      </c>
      <c r="CV185">
        <v>0</v>
      </c>
      <c r="CW185">
        <f>ROUND(Y185*Source!I126*DO185,7)</f>
        <v>6.4799999999999996E-2</v>
      </c>
      <c r="CX185">
        <f>ROUND(Y185*Source!I126,7)</f>
        <v>6.4799999999999996E-2</v>
      </c>
      <c r="CY185">
        <f>AB185</f>
        <v>578.28</v>
      </c>
      <c r="CZ185">
        <f>AF185</f>
        <v>477.92</v>
      </c>
      <c r="DA185">
        <f>AJ185</f>
        <v>1.21</v>
      </c>
      <c r="DB185">
        <f>ROUND((ROUND(AT185*CZ185,2)*ROUND(0.3,7)),6)</f>
        <v>38.712000000000003</v>
      </c>
      <c r="DC185">
        <f>ROUND((ROUND(AT185*AG185,2)*ROUND(0.3,7)),6)</f>
        <v>39.734999999999999</v>
      </c>
      <c r="DD185" t="s">
        <v>3</v>
      </c>
      <c r="DE185" t="s">
        <v>3</v>
      </c>
      <c r="DF185">
        <f>ROUND(ROUND(AE185,2)*CX185,2)</f>
        <v>0</v>
      </c>
      <c r="DG185">
        <f>ROUND(ROUND(AF185*AJ185,2)*CX185,2)</f>
        <v>37.47</v>
      </c>
      <c r="DH185">
        <f t="shared" si="53"/>
        <v>31.79</v>
      </c>
      <c r="DI185">
        <f t="shared" si="55"/>
        <v>0</v>
      </c>
      <c r="DJ185">
        <f>DG185+DH185</f>
        <v>69.259999999999991</v>
      </c>
      <c r="DK185">
        <v>0</v>
      </c>
      <c r="DL185" t="s">
        <v>523</v>
      </c>
      <c r="DM185">
        <v>4</v>
      </c>
      <c r="DN185" t="s">
        <v>509</v>
      </c>
      <c r="DO185">
        <v>1</v>
      </c>
    </row>
    <row r="186" spans="1:119" x14ac:dyDescent="0.2">
      <c r="A186">
        <f>ROW(Source!A126)</f>
        <v>126</v>
      </c>
      <c r="B186">
        <v>65170852</v>
      </c>
      <c r="C186">
        <v>65171475</v>
      </c>
      <c r="D186">
        <v>56573153</v>
      </c>
      <c r="E186">
        <v>1</v>
      </c>
      <c r="F186">
        <v>1</v>
      </c>
      <c r="G186">
        <v>1</v>
      </c>
      <c r="H186">
        <v>2</v>
      </c>
      <c r="I186" t="s">
        <v>655</v>
      </c>
      <c r="J186" t="s">
        <v>656</v>
      </c>
      <c r="K186" t="s">
        <v>657</v>
      </c>
      <c r="L186">
        <v>1368</v>
      </c>
      <c r="N186">
        <v>1011</v>
      </c>
      <c r="O186" t="s">
        <v>515</v>
      </c>
      <c r="P186" t="s">
        <v>515</v>
      </c>
      <c r="Q186">
        <v>1</v>
      </c>
      <c r="W186">
        <v>0</v>
      </c>
      <c r="X186">
        <v>1280601743</v>
      </c>
      <c r="Y186">
        <f>(AT186*ROUND(0.3,7))</f>
        <v>0.45299999999999996</v>
      </c>
      <c r="AA186">
        <v>0</v>
      </c>
      <c r="AB186">
        <v>26.32</v>
      </c>
      <c r="AC186">
        <v>0</v>
      </c>
      <c r="AD186">
        <v>0</v>
      </c>
      <c r="AE186">
        <v>0</v>
      </c>
      <c r="AF186">
        <v>26.32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0</v>
      </c>
      <c r="AP186">
        <v>1</v>
      </c>
      <c r="AQ186">
        <v>1</v>
      </c>
      <c r="AR186">
        <v>0</v>
      </c>
      <c r="AS186" t="s">
        <v>3</v>
      </c>
      <c r="AT186">
        <v>1.51</v>
      </c>
      <c r="AU186" t="s">
        <v>223</v>
      </c>
      <c r="AV186">
        <v>1</v>
      </c>
      <c r="AW186">
        <v>2</v>
      </c>
      <c r="AX186">
        <v>65171487</v>
      </c>
      <c r="AY186">
        <v>1</v>
      </c>
      <c r="AZ186">
        <v>0</v>
      </c>
      <c r="BA186">
        <v>185</v>
      </c>
      <c r="BB186">
        <v>1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39.743200000000002</v>
      </c>
      <c r="BL186">
        <v>0</v>
      </c>
      <c r="BM186">
        <v>0</v>
      </c>
      <c r="BN186">
        <v>0</v>
      </c>
      <c r="BO186">
        <v>0</v>
      </c>
      <c r="BP186">
        <v>1</v>
      </c>
      <c r="BQ186">
        <v>0</v>
      </c>
      <c r="BR186">
        <v>11.92296</v>
      </c>
      <c r="BS186">
        <v>0</v>
      </c>
      <c r="BT186">
        <v>0</v>
      </c>
      <c r="BU186">
        <v>0</v>
      </c>
      <c r="BV186">
        <v>0</v>
      </c>
      <c r="BW186">
        <v>1</v>
      </c>
      <c r="CV186">
        <v>0</v>
      </c>
      <c r="CW186">
        <f>ROUND(Y186*Source!I126*DO186,7)</f>
        <v>0</v>
      </c>
      <c r="CX186">
        <f>ROUND(Y186*Source!I126,7)</f>
        <v>0.3624</v>
      </c>
      <c r="CY186">
        <f>AB186</f>
        <v>26.32</v>
      </c>
      <c r="CZ186">
        <f>AF186</f>
        <v>26.32</v>
      </c>
      <c r="DA186">
        <f>AJ186</f>
        <v>1</v>
      </c>
      <c r="DB186">
        <f>ROUND((ROUND(AT186*CZ186,2)*ROUND(0.3,7)),6)</f>
        <v>11.922000000000001</v>
      </c>
      <c r="DC186">
        <f>ROUND((ROUND(AT186*AG186,2)*ROUND(0.3,7)),6)</f>
        <v>0</v>
      </c>
      <c r="DD186" t="s">
        <v>3</v>
      </c>
      <c r="DE186" t="s">
        <v>3</v>
      </c>
      <c r="DF186">
        <f>ROUND(ROUND(AE186,2)*CX186,2)</f>
        <v>0</v>
      </c>
      <c r="DG186">
        <f t="shared" ref="DG186:DG191" si="69">ROUND(ROUND(AF186,2)*CX186,2)</f>
        <v>9.5399999999999991</v>
      </c>
      <c r="DH186">
        <f t="shared" si="53"/>
        <v>0</v>
      </c>
      <c r="DI186">
        <f t="shared" si="55"/>
        <v>0</v>
      </c>
      <c r="DJ186">
        <f>DG186+DH186</f>
        <v>9.5399999999999991</v>
      </c>
      <c r="DK186">
        <v>1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ROW(Source!A126)</f>
        <v>126</v>
      </c>
      <c r="B187">
        <v>65170852</v>
      </c>
      <c r="C187">
        <v>65171475</v>
      </c>
      <c r="D187">
        <v>56579266</v>
      </c>
      <c r="E187">
        <v>1</v>
      </c>
      <c r="F187">
        <v>1</v>
      </c>
      <c r="G187">
        <v>1</v>
      </c>
      <c r="H187">
        <v>3</v>
      </c>
      <c r="I187" t="s">
        <v>550</v>
      </c>
      <c r="J187" t="s">
        <v>551</v>
      </c>
      <c r="K187" t="s">
        <v>552</v>
      </c>
      <c r="L187">
        <v>1346</v>
      </c>
      <c r="N187">
        <v>1009</v>
      </c>
      <c r="O187" t="s">
        <v>549</v>
      </c>
      <c r="P187" t="s">
        <v>549</v>
      </c>
      <c r="Q187">
        <v>1</v>
      </c>
      <c r="W187">
        <v>0</v>
      </c>
      <c r="X187">
        <v>-1545686836</v>
      </c>
      <c r="Y187">
        <f>(AT187*ROUND(0,7))</f>
        <v>0</v>
      </c>
      <c r="AA187">
        <v>147.85</v>
      </c>
      <c r="AB187">
        <v>0</v>
      </c>
      <c r="AC187">
        <v>0</v>
      </c>
      <c r="AD187">
        <v>0</v>
      </c>
      <c r="AE187">
        <v>155.63</v>
      </c>
      <c r="AF187">
        <v>0</v>
      </c>
      <c r="AG187">
        <v>0</v>
      </c>
      <c r="AH187">
        <v>0</v>
      </c>
      <c r="AI187">
        <v>0.95</v>
      </c>
      <c r="AJ187">
        <v>1</v>
      </c>
      <c r="AK187">
        <v>1</v>
      </c>
      <c r="AL187">
        <v>1</v>
      </c>
      <c r="AM187">
        <v>2</v>
      </c>
      <c r="AN187">
        <v>0</v>
      </c>
      <c r="AO187">
        <v>0</v>
      </c>
      <c r="AP187">
        <v>1</v>
      </c>
      <c r="AQ187">
        <v>1</v>
      </c>
      <c r="AR187">
        <v>0</v>
      </c>
      <c r="AS187" t="s">
        <v>3</v>
      </c>
      <c r="AT187">
        <v>0.72</v>
      </c>
      <c r="AU187" t="s">
        <v>97</v>
      </c>
      <c r="AV187">
        <v>0</v>
      </c>
      <c r="AW187">
        <v>2</v>
      </c>
      <c r="AX187">
        <v>65171488</v>
      </c>
      <c r="AY187">
        <v>1</v>
      </c>
      <c r="AZ187">
        <v>0</v>
      </c>
      <c r="BA187">
        <v>186</v>
      </c>
      <c r="BB187">
        <v>1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112.05359999999999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1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v>0</v>
      </c>
      <c r="CX187">
        <f>ROUND(Y187*Source!I126,7)</f>
        <v>0</v>
      </c>
      <c r="CY187">
        <f>AA187</f>
        <v>147.85</v>
      </c>
      <c r="CZ187">
        <f>AE187</f>
        <v>155.63</v>
      </c>
      <c r="DA187">
        <f>AI187</f>
        <v>0.95</v>
      </c>
      <c r="DB187">
        <f>ROUND((ROUND(AT187*CZ187,2)*ROUND(0,7)),6)</f>
        <v>0</v>
      </c>
      <c r="DC187">
        <f>ROUND((ROUND(AT187*AG187,2)*ROUND(0,7)),6)</f>
        <v>0</v>
      </c>
      <c r="DD187" t="s">
        <v>3</v>
      </c>
      <c r="DE187" t="s">
        <v>3</v>
      </c>
      <c r="DF187">
        <f>ROUND(ROUND(AE187*AI187,2)*CX187,2)</f>
        <v>0</v>
      </c>
      <c r="DG187">
        <f t="shared" si="69"/>
        <v>0</v>
      </c>
      <c r="DH187">
        <f t="shared" si="53"/>
        <v>0</v>
      </c>
      <c r="DI187">
        <f t="shared" si="55"/>
        <v>0</v>
      </c>
      <c r="DJ187">
        <f>DF187</f>
        <v>0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ROW(Source!A126)</f>
        <v>126</v>
      </c>
      <c r="B188">
        <v>65170852</v>
      </c>
      <c r="C188">
        <v>65171475</v>
      </c>
      <c r="D188">
        <v>56609983</v>
      </c>
      <c r="E188">
        <v>1</v>
      </c>
      <c r="F188">
        <v>1</v>
      </c>
      <c r="G188">
        <v>1</v>
      </c>
      <c r="H188">
        <v>3</v>
      </c>
      <c r="I188" t="s">
        <v>717</v>
      </c>
      <c r="J188" t="s">
        <v>718</v>
      </c>
      <c r="K188" t="s">
        <v>719</v>
      </c>
      <c r="L188">
        <v>1346</v>
      </c>
      <c r="N188">
        <v>1009</v>
      </c>
      <c r="O188" t="s">
        <v>549</v>
      </c>
      <c r="P188" t="s">
        <v>549</v>
      </c>
      <c r="Q188">
        <v>1</v>
      </c>
      <c r="W188">
        <v>0</v>
      </c>
      <c r="X188">
        <v>4985900</v>
      </c>
      <c r="Y188">
        <f>(AT188*ROUND(0,7))</f>
        <v>0</v>
      </c>
      <c r="AA188">
        <v>1121.22</v>
      </c>
      <c r="AB188">
        <v>0</v>
      </c>
      <c r="AC188">
        <v>0</v>
      </c>
      <c r="AD188">
        <v>0</v>
      </c>
      <c r="AE188">
        <v>911.56</v>
      </c>
      <c r="AF188">
        <v>0</v>
      </c>
      <c r="AG188">
        <v>0</v>
      </c>
      <c r="AH188">
        <v>0</v>
      </c>
      <c r="AI188">
        <v>1.23</v>
      </c>
      <c r="AJ188">
        <v>1</v>
      </c>
      <c r="AK188">
        <v>1</v>
      </c>
      <c r="AL188">
        <v>1</v>
      </c>
      <c r="AM188">
        <v>2</v>
      </c>
      <c r="AN188">
        <v>0</v>
      </c>
      <c r="AO188">
        <v>0</v>
      </c>
      <c r="AP188">
        <v>1</v>
      </c>
      <c r="AQ188">
        <v>1</v>
      </c>
      <c r="AR188">
        <v>0</v>
      </c>
      <c r="AS188" t="s">
        <v>3</v>
      </c>
      <c r="AT188">
        <v>2.4</v>
      </c>
      <c r="AU188" t="s">
        <v>97</v>
      </c>
      <c r="AV188">
        <v>0</v>
      </c>
      <c r="AW188">
        <v>2</v>
      </c>
      <c r="AX188">
        <v>65171489</v>
      </c>
      <c r="AY188">
        <v>1</v>
      </c>
      <c r="AZ188">
        <v>0</v>
      </c>
      <c r="BA188">
        <v>187</v>
      </c>
      <c r="BB188">
        <v>1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2187.7439999999997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1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V188">
        <v>0</v>
      </c>
      <c r="CW188">
        <v>0</v>
      </c>
      <c r="CX188">
        <f>ROUND(Y188*Source!I126,7)</f>
        <v>0</v>
      </c>
      <c r="CY188">
        <f>AA188</f>
        <v>1121.22</v>
      </c>
      <c r="CZ188">
        <f>AE188</f>
        <v>911.56</v>
      </c>
      <c r="DA188">
        <f>AI188</f>
        <v>1.23</v>
      </c>
      <c r="DB188">
        <f>ROUND((ROUND(AT188*CZ188,2)*ROUND(0,7)),6)</f>
        <v>0</v>
      </c>
      <c r="DC188">
        <f>ROUND((ROUND(AT188*AG188,2)*ROUND(0,7)),6)</f>
        <v>0</v>
      </c>
      <c r="DD188" t="s">
        <v>3</v>
      </c>
      <c r="DE188" t="s">
        <v>3</v>
      </c>
      <c r="DF188">
        <f>ROUND(ROUND(AE188*AI188,2)*CX188,2)</f>
        <v>0</v>
      </c>
      <c r="DG188">
        <f t="shared" si="69"/>
        <v>0</v>
      </c>
      <c r="DH188">
        <f t="shared" si="53"/>
        <v>0</v>
      </c>
      <c r="DI188">
        <f t="shared" si="55"/>
        <v>0</v>
      </c>
      <c r="DJ188">
        <f>DF188</f>
        <v>0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ROW(Source!A127)</f>
        <v>127</v>
      </c>
      <c r="B189">
        <v>65170852</v>
      </c>
      <c r="C189">
        <v>65171491</v>
      </c>
      <c r="D189">
        <v>37064878</v>
      </c>
      <c r="E189">
        <v>108</v>
      </c>
      <c r="F189">
        <v>1</v>
      </c>
      <c r="G189">
        <v>1</v>
      </c>
      <c r="H189">
        <v>1</v>
      </c>
      <c r="I189" t="s">
        <v>715</v>
      </c>
      <c r="J189" t="s">
        <v>3</v>
      </c>
      <c r="K189" t="s">
        <v>716</v>
      </c>
      <c r="L189">
        <v>1191</v>
      </c>
      <c r="N189">
        <v>1013</v>
      </c>
      <c r="O189" t="s">
        <v>509</v>
      </c>
      <c r="P189" t="s">
        <v>509</v>
      </c>
      <c r="Q189">
        <v>1</v>
      </c>
      <c r="W189">
        <v>0</v>
      </c>
      <c r="X189">
        <v>-2012709214</v>
      </c>
      <c r="Y189">
        <f>(AT189*ROUND(0.3,7))</f>
        <v>5.55</v>
      </c>
      <c r="AA189">
        <v>0</v>
      </c>
      <c r="AB189">
        <v>0</v>
      </c>
      <c r="AC189">
        <v>0</v>
      </c>
      <c r="AD189">
        <v>479.56</v>
      </c>
      <c r="AE189">
        <v>0</v>
      </c>
      <c r="AF189">
        <v>0</v>
      </c>
      <c r="AG189">
        <v>0</v>
      </c>
      <c r="AH189">
        <v>479.56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0</v>
      </c>
      <c r="AP189">
        <v>1</v>
      </c>
      <c r="AQ189">
        <v>1</v>
      </c>
      <c r="AR189">
        <v>0</v>
      </c>
      <c r="AS189" t="s">
        <v>3</v>
      </c>
      <c r="AT189">
        <v>18.5</v>
      </c>
      <c r="AU189" t="s">
        <v>223</v>
      </c>
      <c r="AV189">
        <v>1</v>
      </c>
      <c r="AW189">
        <v>2</v>
      </c>
      <c r="AX189">
        <v>65171501</v>
      </c>
      <c r="AY189">
        <v>1</v>
      </c>
      <c r="AZ189">
        <v>0</v>
      </c>
      <c r="BA189">
        <v>189</v>
      </c>
      <c r="BB189">
        <v>1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8871.86</v>
      </c>
      <c r="BN189">
        <v>18.5</v>
      </c>
      <c r="BO189">
        <v>0</v>
      </c>
      <c r="BP189">
        <v>1</v>
      </c>
      <c r="BQ189">
        <v>0</v>
      </c>
      <c r="BR189">
        <v>0</v>
      </c>
      <c r="BS189">
        <v>0</v>
      </c>
      <c r="BT189">
        <v>2661.558</v>
      </c>
      <c r="BU189">
        <v>5.55</v>
      </c>
      <c r="BV189">
        <v>0</v>
      </c>
      <c r="BW189">
        <v>1</v>
      </c>
      <c r="CU189">
        <f>ROUND(AT189*Source!I127*AH189*AL189,2)</f>
        <v>3726.18</v>
      </c>
      <c r="CV189">
        <f>ROUND(Y189*Source!I127,7)</f>
        <v>2.331</v>
      </c>
      <c r="CW189">
        <v>0</v>
      </c>
      <c r="CX189">
        <f>ROUND(Y189*Source!I127,7)</f>
        <v>2.331</v>
      </c>
      <c r="CY189">
        <f>AD189</f>
        <v>479.56</v>
      </c>
      <c r="CZ189">
        <f>AH189</f>
        <v>479.56</v>
      </c>
      <c r="DA189">
        <f>AL189</f>
        <v>1</v>
      </c>
      <c r="DB189">
        <f>ROUND((ROUND(AT189*CZ189,2)*ROUND(0.3,7)),6)</f>
        <v>2661.558</v>
      </c>
      <c r="DC189">
        <f>ROUND((ROUND(AT189*AG189,2)*ROUND(0.3,7)),6)</f>
        <v>0</v>
      </c>
      <c r="DD189" t="s">
        <v>3</v>
      </c>
      <c r="DE189" t="s">
        <v>3</v>
      </c>
      <c r="DF189">
        <f>ROUND(ROUND(AE189,2)*CX189,2)</f>
        <v>0</v>
      </c>
      <c r="DG189">
        <f t="shared" si="69"/>
        <v>0</v>
      </c>
      <c r="DH189">
        <f t="shared" si="53"/>
        <v>0</v>
      </c>
      <c r="DI189">
        <f t="shared" si="55"/>
        <v>1117.8499999999999</v>
      </c>
      <c r="DJ189">
        <f>DI189</f>
        <v>1117.8499999999999</v>
      </c>
      <c r="DK189">
        <v>1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ROW(Source!A127)</f>
        <v>127</v>
      </c>
      <c r="B190">
        <v>65170852</v>
      </c>
      <c r="C190">
        <v>65171491</v>
      </c>
      <c r="D190">
        <v>37064876</v>
      </c>
      <c r="E190">
        <v>108</v>
      </c>
      <c r="F190">
        <v>1</v>
      </c>
      <c r="G190">
        <v>1</v>
      </c>
      <c r="H190">
        <v>1</v>
      </c>
      <c r="I190" t="s">
        <v>510</v>
      </c>
      <c r="J190" t="s">
        <v>3</v>
      </c>
      <c r="K190" t="s">
        <v>511</v>
      </c>
      <c r="L190">
        <v>1191</v>
      </c>
      <c r="N190">
        <v>1013</v>
      </c>
      <c r="O190" t="s">
        <v>509</v>
      </c>
      <c r="P190" t="s">
        <v>509</v>
      </c>
      <c r="Q190">
        <v>1</v>
      </c>
      <c r="W190">
        <v>0</v>
      </c>
      <c r="X190">
        <v>-1417349443</v>
      </c>
      <c r="Y190">
        <f>(AT190*ROUND(0.3,7))</f>
        <v>0.13800000000000001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0</v>
      </c>
      <c r="AP190">
        <v>1</v>
      </c>
      <c r="AQ190">
        <v>1</v>
      </c>
      <c r="AR190">
        <v>0</v>
      </c>
      <c r="AS190" t="s">
        <v>3</v>
      </c>
      <c r="AT190">
        <v>0.46</v>
      </c>
      <c r="AU190" t="s">
        <v>223</v>
      </c>
      <c r="AV190">
        <v>2</v>
      </c>
      <c r="AW190">
        <v>2</v>
      </c>
      <c r="AX190">
        <v>65171502</v>
      </c>
      <c r="AY190">
        <v>1</v>
      </c>
      <c r="AZ190">
        <v>0</v>
      </c>
      <c r="BA190">
        <v>190</v>
      </c>
      <c r="BB190">
        <v>1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V190">
        <v>0</v>
      </c>
      <c r="CW190">
        <v>0</v>
      </c>
      <c r="CX190">
        <f>ROUND(Y190*Source!I127,7)</f>
        <v>5.7959999999999998E-2</v>
      </c>
      <c r="CY190">
        <f>AD190</f>
        <v>0</v>
      </c>
      <c r="CZ190">
        <f>AH190</f>
        <v>0</v>
      </c>
      <c r="DA190">
        <f>AL190</f>
        <v>1</v>
      </c>
      <c r="DB190">
        <f>ROUND((ROUND(AT190*CZ190,2)*ROUND(0.3,7)),6)</f>
        <v>0</v>
      </c>
      <c r="DC190">
        <f>ROUND((ROUND(AT190*AG190,2)*ROUND(0.3,7)),6)</f>
        <v>0</v>
      </c>
      <c r="DD190" t="s">
        <v>3</v>
      </c>
      <c r="DE190" t="s">
        <v>3</v>
      </c>
      <c r="DF190">
        <f>ROUND(ROUND(AE190,2)*CX190,2)</f>
        <v>0</v>
      </c>
      <c r="DG190">
        <f t="shared" si="69"/>
        <v>0</v>
      </c>
      <c r="DH190">
        <f t="shared" si="53"/>
        <v>0</v>
      </c>
      <c r="DI190">
        <f t="shared" si="55"/>
        <v>0</v>
      </c>
      <c r="DJ190">
        <f>DI190</f>
        <v>0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ROW(Source!A127)</f>
        <v>127</v>
      </c>
      <c r="B191">
        <v>65170852</v>
      </c>
      <c r="C191">
        <v>65171491</v>
      </c>
      <c r="D191">
        <v>56571417</v>
      </c>
      <c r="E191">
        <v>1</v>
      </c>
      <c r="F191">
        <v>1</v>
      </c>
      <c r="G191">
        <v>1</v>
      </c>
      <c r="H191">
        <v>2</v>
      </c>
      <c r="I191" t="s">
        <v>512</v>
      </c>
      <c r="J191" t="s">
        <v>513</v>
      </c>
      <c r="K191" t="s">
        <v>514</v>
      </c>
      <c r="L191">
        <v>1368</v>
      </c>
      <c r="N191">
        <v>1011</v>
      </c>
      <c r="O191" t="s">
        <v>515</v>
      </c>
      <c r="P191" t="s">
        <v>515</v>
      </c>
      <c r="Q191">
        <v>1</v>
      </c>
      <c r="W191">
        <v>0</v>
      </c>
      <c r="X191">
        <v>-848025172</v>
      </c>
      <c r="Y191">
        <f>(AT191*ROUND(0.3,7))</f>
        <v>6.9000000000000006E-2</v>
      </c>
      <c r="AA191">
        <v>0</v>
      </c>
      <c r="AB191">
        <v>1551.19</v>
      </c>
      <c r="AC191">
        <v>658.94</v>
      </c>
      <c r="AD191">
        <v>0</v>
      </c>
      <c r="AE191">
        <v>0</v>
      </c>
      <c r="AF191">
        <v>1551.19</v>
      </c>
      <c r="AG191">
        <v>658.94</v>
      </c>
      <c r="AH191">
        <v>0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0</v>
      </c>
      <c r="AP191">
        <v>1</v>
      </c>
      <c r="AQ191">
        <v>1</v>
      </c>
      <c r="AR191">
        <v>0</v>
      </c>
      <c r="AS191" t="s">
        <v>3</v>
      </c>
      <c r="AT191">
        <v>0.23</v>
      </c>
      <c r="AU191" t="s">
        <v>223</v>
      </c>
      <c r="AV191">
        <v>1</v>
      </c>
      <c r="AW191">
        <v>2</v>
      </c>
      <c r="AX191">
        <v>65171503</v>
      </c>
      <c r="AY191">
        <v>1</v>
      </c>
      <c r="AZ191">
        <v>0</v>
      </c>
      <c r="BA191">
        <v>191</v>
      </c>
      <c r="BB191">
        <v>1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356.77370000000002</v>
      </c>
      <c r="BL191">
        <v>151.55620000000002</v>
      </c>
      <c r="BM191">
        <v>0</v>
      </c>
      <c r="BN191">
        <v>0</v>
      </c>
      <c r="BO191">
        <v>0.23</v>
      </c>
      <c r="BP191">
        <v>1</v>
      </c>
      <c r="BQ191">
        <v>0</v>
      </c>
      <c r="BR191">
        <v>107.03211000000002</v>
      </c>
      <c r="BS191">
        <v>45.466860000000004</v>
      </c>
      <c r="BT191">
        <v>0</v>
      </c>
      <c r="BU191">
        <v>0</v>
      </c>
      <c r="BV191">
        <v>6.9000000000000006E-2</v>
      </c>
      <c r="BW191">
        <v>1</v>
      </c>
      <c r="CV191">
        <v>0</v>
      </c>
      <c r="CW191">
        <f>ROUND(Y191*Source!I127*DO191,7)</f>
        <v>2.8979999999999999E-2</v>
      </c>
      <c r="CX191">
        <f>ROUND(Y191*Source!I127,7)</f>
        <v>2.8979999999999999E-2</v>
      </c>
      <c r="CY191">
        <f>AB191</f>
        <v>1551.19</v>
      </c>
      <c r="CZ191">
        <f>AF191</f>
        <v>1551.19</v>
      </c>
      <c r="DA191">
        <f>AJ191</f>
        <v>1</v>
      </c>
      <c r="DB191">
        <f>ROUND((ROUND(AT191*CZ191,2)*ROUND(0.3,7)),6)</f>
        <v>107.03100000000001</v>
      </c>
      <c r="DC191">
        <f>ROUND((ROUND(AT191*AG191,2)*ROUND(0.3,7)),6)</f>
        <v>45.468000000000004</v>
      </c>
      <c r="DD191" t="s">
        <v>3</v>
      </c>
      <c r="DE191" t="s">
        <v>3</v>
      </c>
      <c r="DF191">
        <f>ROUND(ROUND(AE191,2)*CX191,2)</f>
        <v>0</v>
      </c>
      <c r="DG191">
        <f t="shared" si="69"/>
        <v>44.95</v>
      </c>
      <c r="DH191">
        <f t="shared" si="53"/>
        <v>19.100000000000001</v>
      </c>
      <c r="DI191">
        <f t="shared" si="55"/>
        <v>0</v>
      </c>
      <c r="DJ191">
        <f>DG191+DH191</f>
        <v>64.050000000000011</v>
      </c>
      <c r="DK191">
        <v>1</v>
      </c>
      <c r="DL191" t="s">
        <v>516</v>
      </c>
      <c r="DM191">
        <v>6</v>
      </c>
      <c r="DN191" t="s">
        <v>509</v>
      </c>
      <c r="DO191">
        <v>1</v>
      </c>
    </row>
    <row r="192" spans="1:119" x14ac:dyDescent="0.2">
      <c r="A192">
        <f>ROW(Source!A127)</f>
        <v>127</v>
      </c>
      <c r="B192">
        <v>65170852</v>
      </c>
      <c r="C192">
        <v>65171491</v>
      </c>
      <c r="D192">
        <v>56572833</v>
      </c>
      <c r="E192">
        <v>1</v>
      </c>
      <c r="F192">
        <v>1</v>
      </c>
      <c r="G192">
        <v>1</v>
      </c>
      <c r="H192">
        <v>2</v>
      </c>
      <c r="I192" t="s">
        <v>520</v>
      </c>
      <c r="J192" t="s">
        <v>521</v>
      </c>
      <c r="K192" t="s">
        <v>522</v>
      </c>
      <c r="L192">
        <v>1368</v>
      </c>
      <c r="N192">
        <v>1011</v>
      </c>
      <c r="O192" t="s">
        <v>515</v>
      </c>
      <c r="P192" t="s">
        <v>515</v>
      </c>
      <c r="Q192">
        <v>1</v>
      </c>
      <c r="W192">
        <v>0</v>
      </c>
      <c r="X192">
        <v>1230426758</v>
      </c>
      <c r="Y192">
        <f>(AT192*ROUND(0.3,7))</f>
        <v>6.9000000000000006E-2</v>
      </c>
      <c r="AA192">
        <v>0</v>
      </c>
      <c r="AB192">
        <v>578.28</v>
      </c>
      <c r="AC192">
        <v>490.55</v>
      </c>
      <c r="AD192">
        <v>0</v>
      </c>
      <c r="AE192">
        <v>0</v>
      </c>
      <c r="AF192">
        <v>477.92</v>
      </c>
      <c r="AG192">
        <v>490.55</v>
      </c>
      <c r="AH192">
        <v>0</v>
      </c>
      <c r="AI192">
        <v>1</v>
      </c>
      <c r="AJ192">
        <v>1.21</v>
      </c>
      <c r="AK192">
        <v>1</v>
      </c>
      <c r="AL192">
        <v>1</v>
      </c>
      <c r="AM192">
        <v>2</v>
      </c>
      <c r="AN192">
        <v>0</v>
      </c>
      <c r="AO192">
        <v>0</v>
      </c>
      <c r="AP192">
        <v>1</v>
      </c>
      <c r="AQ192">
        <v>1</v>
      </c>
      <c r="AR192">
        <v>0</v>
      </c>
      <c r="AS192" t="s">
        <v>3</v>
      </c>
      <c r="AT192">
        <v>0.23</v>
      </c>
      <c r="AU192" t="s">
        <v>223</v>
      </c>
      <c r="AV192">
        <v>1</v>
      </c>
      <c r="AW192">
        <v>2</v>
      </c>
      <c r="AX192">
        <v>65171504</v>
      </c>
      <c r="AY192">
        <v>1</v>
      </c>
      <c r="AZ192">
        <v>0</v>
      </c>
      <c r="BA192">
        <v>192</v>
      </c>
      <c r="BB192">
        <v>1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109.92160000000001</v>
      </c>
      <c r="BL192">
        <v>112.82650000000001</v>
      </c>
      <c r="BM192">
        <v>0</v>
      </c>
      <c r="BN192">
        <v>0</v>
      </c>
      <c r="BO192">
        <v>0.23</v>
      </c>
      <c r="BP192">
        <v>1</v>
      </c>
      <c r="BQ192">
        <v>0</v>
      </c>
      <c r="BR192">
        <v>32.976480000000002</v>
      </c>
      <c r="BS192">
        <v>33.847950000000004</v>
      </c>
      <c r="BT192">
        <v>0</v>
      </c>
      <c r="BU192">
        <v>0</v>
      </c>
      <c r="BV192">
        <v>6.9000000000000006E-2</v>
      </c>
      <c r="BW192">
        <v>1</v>
      </c>
      <c r="CV192">
        <v>0</v>
      </c>
      <c r="CW192">
        <f>ROUND(Y192*Source!I127*DO192,7)</f>
        <v>2.8979999999999999E-2</v>
      </c>
      <c r="CX192">
        <f>ROUND(Y192*Source!I127,7)</f>
        <v>2.8979999999999999E-2</v>
      </c>
      <c r="CY192">
        <f>AB192</f>
        <v>578.28</v>
      </c>
      <c r="CZ192">
        <f>AF192</f>
        <v>477.92</v>
      </c>
      <c r="DA192">
        <f>AJ192</f>
        <v>1.21</v>
      </c>
      <c r="DB192">
        <f>ROUND((ROUND(AT192*CZ192,2)*ROUND(0.3,7)),6)</f>
        <v>32.975999999999999</v>
      </c>
      <c r="DC192">
        <f>ROUND((ROUND(AT192*AG192,2)*ROUND(0.3,7)),6)</f>
        <v>33.848999999999997</v>
      </c>
      <c r="DD192" t="s">
        <v>3</v>
      </c>
      <c r="DE192" t="s">
        <v>3</v>
      </c>
      <c r="DF192">
        <f>ROUND(ROUND(AE192,2)*CX192,2)</f>
        <v>0</v>
      </c>
      <c r="DG192">
        <f>ROUND(ROUND(AF192*AJ192,2)*CX192,2)</f>
        <v>16.760000000000002</v>
      </c>
      <c r="DH192">
        <f t="shared" si="53"/>
        <v>14.22</v>
      </c>
      <c r="DI192">
        <f t="shared" si="55"/>
        <v>0</v>
      </c>
      <c r="DJ192">
        <f>DG192+DH192</f>
        <v>30.980000000000004</v>
      </c>
      <c r="DK192">
        <v>0</v>
      </c>
      <c r="DL192" t="s">
        <v>523</v>
      </c>
      <c r="DM192">
        <v>4</v>
      </c>
      <c r="DN192" t="s">
        <v>509</v>
      </c>
      <c r="DO192">
        <v>1</v>
      </c>
    </row>
    <row r="193" spans="1:119" x14ac:dyDescent="0.2">
      <c r="A193">
        <f>ROW(Source!A127)</f>
        <v>127</v>
      </c>
      <c r="B193">
        <v>65170852</v>
      </c>
      <c r="C193">
        <v>65171491</v>
      </c>
      <c r="D193">
        <v>56573153</v>
      </c>
      <c r="E193">
        <v>1</v>
      </c>
      <c r="F193">
        <v>1</v>
      </c>
      <c r="G193">
        <v>1</v>
      </c>
      <c r="H193">
        <v>2</v>
      </c>
      <c r="I193" t="s">
        <v>655</v>
      </c>
      <c r="J193" t="s">
        <v>656</v>
      </c>
      <c r="K193" t="s">
        <v>657</v>
      </c>
      <c r="L193">
        <v>1368</v>
      </c>
      <c r="N193">
        <v>1011</v>
      </c>
      <c r="O193" t="s">
        <v>515</v>
      </c>
      <c r="P193" t="s">
        <v>515</v>
      </c>
      <c r="Q193">
        <v>1</v>
      </c>
      <c r="W193">
        <v>0</v>
      </c>
      <c r="X193">
        <v>1280601743</v>
      </c>
      <c r="Y193">
        <f>(AT193*ROUND(0.3,7))</f>
        <v>0.87</v>
      </c>
      <c r="AA193">
        <v>0</v>
      </c>
      <c r="AB193">
        <v>26.32</v>
      </c>
      <c r="AC193">
        <v>0</v>
      </c>
      <c r="AD193">
        <v>0</v>
      </c>
      <c r="AE193">
        <v>0</v>
      </c>
      <c r="AF193">
        <v>26.32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0</v>
      </c>
      <c r="AP193">
        <v>1</v>
      </c>
      <c r="AQ193">
        <v>1</v>
      </c>
      <c r="AR193">
        <v>0</v>
      </c>
      <c r="AS193" t="s">
        <v>3</v>
      </c>
      <c r="AT193">
        <v>2.9</v>
      </c>
      <c r="AU193" t="s">
        <v>223</v>
      </c>
      <c r="AV193">
        <v>1</v>
      </c>
      <c r="AW193">
        <v>2</v>
      </c>
      <c r="AX193">
        <v>65171505</v>
      </c>
      <c r="AY193">
        <v>1</v>
      </c>
      <c r="AZ193">
        <v>0</v>
      </c>
      <c r="BA193">
        <v>193</v>
      </c>
      <c r="BB193">
        <v>1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76.328000000000003</v>
      </c>
      <c r="BL193">
        <v>0</v>
      </c>
      <c r="BM193">
        <v>0</v>
      </c>
      <c r="BN193">
        <v>0</v>
      </c>
      <c r="BO193">
        <v>0</v>
      </c>
      <c r="BP193">
        <v>1</v>
      </c>
      <c r="BQ193">
        <v>0</v>
      </c>
      <c r="BR193">
        <v>22.898399999999999</v>
      </c>
      <c r="BS193">
        <v>0</v>
      </c>
      <c r="BT193">
        <v>0</v>
      </c>
      <c r="BU193">
        <v>0</v>
      </c>
      <c r="BV193">
        <v>0</v>
      </c>
      <c r="BW193">
        <v>1</v>
      </c>
      <c r="CV193">
        <v>0</v>
      </c>
      <c r="CW193">
        <f>ROUND(Y193*Source!I127*DO193,7)</f>
        <v>0</v>
      </c>
      <c r="CX193">
        <f>ROUND(Y193*Source!I127,7)</f>
        <v>0.3654</v>
      </c>
      <c r="CY193">
        <f>AB193</f>
        <v>26.32</v>
      </c>
      <c r="CZ193">
        <f>AF193</f>
        <v>26.32</v>
      </c>
      <c r="DA193">
        <f>AJ193</f>
        <v>1</v>
      </c>
      <c r="DB193">
        <f>ROUND((ROUND(AT193*CZ193,2)*ROUND(0.3,7)),6)</f>
        <v>22.899000000000001</v>
      </c>
      <c r="DC193">
        <f>ROUND((ROUND(AT193*AG193,2)*ROUND(0.3,7)),6)</f>
        <v>0</v>
      </c>
      <c r="DD193" t="s">
        <v>3</v>
      </c>
      <c r="DE193" t="s">
        <v>3</v>
      </c>
      <c r="DF193">
        <f>ROUND(ROUND(AE193,2)*CX193,2)</f>
        <v>0</v>
      </c>
      <c r="DG193">
        <f t="shared" ref="DG193:DG200" si="70">ROUND(ROUND(AF193,2)*CX193,2)</f>
        <v>9.6199999999999992</v>
      </c>
      <c r="DH193">
        <f t="shared" ref="DH193:DH256" si="71">ROUND(ROUND(AG193,2)*CX193,2)</f>
        <v>0</v>
      </c>
      <c r="DI193">
        <f t="shared" si="55"/>
        <v>0</v>
      </c>
      <c r="DJ193">
        <f>DG193+DH193</f>
        <v>9.6199999999999992</v>
      </c>
      <c r="DK193">
        <v>1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ROW(Source!A127)</f>
        <v>127</v>
      </c>
      <c r="B194">
        <v>65170852</v>
      </c>
      <c r="C194">
        <v>65171491</v>
      </c>
      <c r="D194">
        <v>56579266</v>
      </c>
      <c r="E194">
        <v>1</v>
      </c>
      <c r="F194">
        <v>1</v>
      </c>
      <c r="G194">
        <v>1</v>
      </c>
      <c r="H194">
        <v>3</v>
      </c>
      <c r="I194" t="s">
        <v>550</v>
      </c>
      <c r="J194" t="s">
        <v>551</v>
      </c>
      <c r="K194" t="s">
        <v>552</v>
      </c>
      <c r="L194">
        <v>1346</v>
      </c>
      <c r="N194">
        <v>1009</v>
      </c>
      <c r="O194" t="s">
        <v>549</v>
      </c>
      <c r="P194" t="s">
        <v>549</v>
      </c>
      <c r="Q194">
        <v>1</v>
      </c>
      <c r="W194">
        <v>0</v>
      </c>
      <c r="X194">
        <v>-1545686836</v>
      </c>
      <c r="Y194">
        <f>(AT194*ROUND(0,7))</f>
        <v>0</v>
      </c>
      <c r="AA194">
        <v>147.85</v>
      </c>
      <c r="AB194">
        <v>0</v>
      </c>
      <c r="AC194">
        <v>0</v>
      </c>
      <c r="AD194">
        <v>0</v>
      </c>
      <c r="AE194">
        <v>155.63</v>
      </c>
      <c r="AF194">
        <v>0</v>
      </c>
      <c r="AG194">
        <v>0</v>
      </c>
      <c r="AH194">
        <v>0</v>
      </c>
      <c r="AI194">
        <v>0.95</v>
      </c>
      <c r="AJ194">
        <v>1</v>
      </c>
      <c r="AK194">
        <v>1</v>
      </c>
      <c r="AL194">
        <v>1</v>
      </c>
      <c r="AM194">
        <v>2</v>
      </c>
      <c r="AN194">
        <v>0</v>
      </c>
      <c r="AO194">
        <v>0</v>
      </c>
      <c r="AP194">
        <v>1</v>
      </c>
      <c r="AQ194">
        <v>1</v>
      </c>
      <c r="AR194">
        <v>0</v>
      </c>
      <c r="AS194" t="s">
        <v>3</v>
      </c>
      <c r="AT194">
        <v>1.3</v>
      </c>
      <c r="AU194" t="s">
        <v>97</v>
      </c>
      <c r="AV194">
        <v>0</v>
      </c>
      <c r="AW194">
        <v>2</v>
      </c>
      <c r="AX194">
        <v>65171506</v>
      </c>
      <c r="AY194">
        <v>1</v>
      </c>
      <c r="AZ194">
        <v>0</v>
      </c>
      <c r="BA194">
        <v>194</v>
      </c>
      <c r="BB194">
        <v>1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202.31899999999999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1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V194">
        <v>0</v>
      </c>
      <c r="CW194">
        <v>0</v>
      </c>
      <c r="CX194">
        <f>ROUND(Y194*Source!I127,7)</f>
        <v>0</v>
      </c>
      <c r="CY194">
        <f>AA194</f>
        <v>147.85</v>
      </c>
      <c r="CZ194">
        <f>AE194</f>
        <v>155.63</v>
      </c>
      <c r="DA194">
        <f>AI194</f>
        <v>0.95</v>
      </c>
      <c r="DB194">
        <f>ROUND((ROUND(AT194*CZ194,2)*ROUND(0,7)),6)</f>
        <v>0</v>
      </c>
      <c r="DC194">
        <f>ROUND((ROUND(AT194*AG194,2)*ROUND(0,7)),6)</f>
        <v>0</v>
      </c>
      <c r="DD194" t="s">
        <v>3</v>
      </c>
      <c r="DE194" t="s">
        <v>3</v>
      </c>
      <c r="DF194">
        <f>ROUND(ROUND(AE194*AI194,2)*CX194,2)</f>
        <v>0</v>
      </c>
      <c r="DG194">
        <f t="shared" si="70"/>
        <v>0</v>
      </c>
      <c r="DH194">
        <f t="shared" si="71"/>
        <v>0</v>
      </c>
      <c r="DI194">
        <f t="shared" si="55"/>
        <v>0</v>
      </c>
      <c r="DJ194">
        <f>DF194</f>
        <v>0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ROW(Source!A127)</f>
        <v>127</v>
      </c>
      <c r="B195">
        <v>65170852</v>
      </c>
      <c r="C195">
        <v>65171491</v>
      </c>
      <c r="D195">
        <v>56592692</v>
      </c>
      <c r="E195">
        <v>1</v>
      </c>
      <c r="F195">
        <v>1</v>
      </c>
      <c r="G195">
        <v>1</v>
      </c>
      <c r="H195">
        <v>3</v>
      </c>
      <c r="I195" t="s">
        <v>720</v>
      </c>
      <c r="J195" t="s">
        <v>721</v>
      </c>
      <c r="K195" t="s">
        <v>722</v>
      </c>
      <c r="L195">
        <v>1348</v>
      </c>
      <c r="N195">
        <v>1009</v>
      </c>
      <c r="O195" t="s">
        <v>94</v>
      </c>
      <c r="P195" t="s">
        <v>94</v>
      </c>
      <c r="Q195">
        <v>1000</v>
      </c>
      <c r="W195">
        <v>0</v>
      </c>
      <c r="X195">
        <v>-994423950</v>
      </c>
      <c r="Y195">
        <f>(AT195*ROUND(0,7))</f>
        <v>0</v>
      </c>
      <c r="AA195">
        <v>61173.09</v>
      </c>
      <c r="AB195">
        <v>0</v>
      </c>
      <c r="AC195">
        <v>0</v>
      </c>
      <c r="AD195">
        <v>0</v>
      </c>
      <c r="AE195">
        <v>71131.5</v>
      </c>
      <c r="AF195">
        <v>0</v>
      </c>
      <c r="AG195">
        <v>0</v>
      </c>
      <c r="AH195">
        <v>0</v>
      </c>
      <c r="AI195">
        <v>0.86</v>
      </c>
      <c r="AJ195">
        <v>1</v>
      </c>
      <c r="AK195">
        <v>1</v>
      </c>
      <c r="AL195">
        <v>1</v>
      </c>
      <c r="AM195">
        <v>2</v>
      </c>
      <c r="AN195">
        <v>0</v>
      </c>
      <c r="AO195">
        <v>0</v>
      </c>
      <c r="AP195">
        <v>1</v>
      </c>
      <c r="AQ195">
        <v>1</v>
      </c>
      <c r="AR195">
        <v>0</v>
      </c>
      <c r="AS195" t="s">
        <v>3</v>
      </c>
      <c r="AT195">
        <v>4.0000000000000001E-3</v>
      </c>
      <c r="AU195" t="s">
        <v>97</v>
      </c>
      <c r="AV195">
        <v>0</v>
      </c>
      <c r="AW195">
        <v>2</v>
      </c>
      <c r="AX195">
        <v>65171507</v>
      </c>
      <c r="AY195">
        <v>1</v>
      </c>
      <c r="AZ195">
        <v>0</v>
      </c>
      <c r="BA195">
        <v>195</v>
      </c>
      <c r="BB195">
        <v>1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284.52600000000001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1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V195">
        <v>0</v>
      </c>
      <c r="CW195">
        <v>0</v>
      </c>
      <c r="CX195">
        <f>ROUND(Y195*Source!I127,7)</f>
        <v>0</v>
      </c>
      <c r="CY195">
        <f>AA195</f>
        <v>61173.09</v>
      </c>
      <c r="CZ195">
        <f>AE195</f>
        <v>71131.5</v>
      </c>
      <c r="DA195">
        <f>AI195</f>
        <v>0.86</v>
      </c>
      <c r="DB195">
        <f>ROUND((ROUND(AT195*CZ195,2)*ROUND(0,7)),6)</f>
        <v>0</v>
      </c>
      <c r="DC195">
        <f>ROUND((ROUND(AT195*AG195,2)*ROUND(0,7)),6)</f>
        <v>0</v>
      </c>
      <c r="DD195" t="s">
        <v>3</v>
      </c>
      <c r="DE195" t="s">
        <v>3</v>
      </c>
      <c r="DF195">
        <f>ROUND(ROUND(AE195*AI195,2)*CX195,2)</f>
        <v>0</v>
      </c>
      <c r="DG195">
        <f t="shared" si="70"/>
        <v>0</v>
      </c>
      <c r="DH195">
        <f t="shared" si="71"/>
        <v>0</v>
      </c>
      <c r="DI195">
        <f t="shared" si="55"/>
        <v>0</v>
      </c>
      <c r="DJ195">
        <f>DF195</f>
        <v>0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ROW(Source!A127)</f>
        <v>127</v>
      </c>
      <c r="B196">
        <v>65170852</v>
      </c>
      <c r="C196">
        <v>65171491</v>
      </c>
      <c r="D196">
        <v>56609983</v>
      </c>
      <c r="E196">
        <v>1</v>
      </c>
      <c r="F196">
        <v>1</v>
      </c>
      <c r="G196">
        <v>1</v>
      </c>
      <c r="H196">
        <v>3</v>
      </c>
      <c r="I196" t="s">
        <v>717</v>
      </c>
      <c r="J196" t="s">
        <v>718</v>
      </c>
      <c r="K196" t="s">
        <v>719</v>
      </c>
      <c r="L196">
        <v>1346</v>
      </c>
      <c r="N196">
        <v>1009</v>
      </c>
      <c r="O196" t="s">
        <v>549</v>
      </c>
      <c r="P196" t="s">
        <v>549</v>
      </c>
      <c r="Q196">
        <v>1</v>
      </c>
      <c r="W196">
        <v>0</v>
      </c>
      <c r="X196">
        <v>4985900</v>
      </c>
      <c r="Y196">
        <f>(AT196*ROUND(0,7))</f>
        <v>0</v>
      </c>
      <c r="AA196">
        <v>1121.22</v>
      </c>
      <c r="AB196">
        <v>0</v>
      </c>
      <c r="AC196">
        <v>0</v>
      </c>
      <c r="AD196">
        <v>0</v>
      </c>
      <c r="AE196">
        <v>911.56</v>
      </c>
      <c r="AF196">
        <v>0</v>
      </c>
      <c r="AG196">
        <v>0</v>
      </c>
      <c r="AH196">
        <v>0</v>
      </c>
      <c r="AI196">
        <v>1.23</v>
      </c>
      <c r="AJ196">
        <v>1</v>
      </c>
      <c r="AK196">
        <v>1</v>
      </c>
      <c r="AL196">
        <v>1</v>
      </c>
      <c r="AM196">
        <v>2</v>
      </c>
      <c r="AN196">
        <v>0</v>
      </c>
      <c r="AO196">
        <v>0</v>
      </c>
      <c r="AP196">
        <v>1</v>
      </c>
      <c r="AQ196">
        <v>1</v>
      </c>
      <c r="AR196">
        <v>0</v>
      </c>
      <c r="AS196" t="s">
        <v>3</v>
      </c>
      <c r="AT196">
        <v>2.2999999999999998</v>
      </c>
      <c r="AU196" t="s">
        <v>97</v>
      </c>
      <c r="AV196">
        <v>0</v>
      </c>
      <c r="AW196">
        <v>2</v>
      </c>
      <c r="AX196">
        <v>65171508</v>
      </c>
      <c r="AY196">
        <v>1</v>
      </c>
      <c r="AZ196">
        <v>0</v>
      </c>
      <c r="BA196">
        <v>196</v>
      </c>
      <c r="BB196">
        <v>1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2096.5879999999997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1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V196">
        <v>0</v>
      </c>
      <c r="CW196">
        <v>0</v>
      </c>
      <c r="CX196">
        <f>ROUND(Y196*Source!I127,7)</f>
        <v>0</v>
      </c>
      <c r="CY196">
        <f>AA196</f>
        <v>1121.22</v>
      </c>
      <c r="CZ196">
        <f>AE196</f>
        <v>911.56</v>
      </c>
      <c r="DA196">
        <f>AI196</f>
        <v>1.23</v>
      </c>
      <c r="DB196">
        <f>ROUND((ROUND(AT196*CZ196,2)*ROUND(0,7)),6)</f>
        <v>0</v>
      </c>
      <c r="DC196">
        <f>ROUND((ROUND(AT196*AG196,2)*ROUND(0,7)),6)</f>
        <v>0</v>
      </c>
      <c r="DD196" t="s">
        <v>3</v>
      </c>
      <c r="DE196" t="s">
        <v>3</v>
      </c>
      <c r="DF196">
        <f>ROUND(ROUND(AE196*AI196,2)*CX196,2)</f>
        <v>0</v>
      </c>
      <c r="DG196">
        <f t="shared" si="70"/>
        <v>0</v>
      </c>
      <c r="DH196">
        <f t="shared" si="71"/>
        <v>0</v>
      </c>
      <c r="DI196">
        <f t="shared" si="55"/>
        <v>0</v>
      </c>
      <c r="DJ196">
        <f>DF196</f>
        <v>0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ROW(Source!A127)</f>
        <v>127</v>
      </c>
      <c r="B197">
        <v>65170852</v>
      </c>
      <c r="C197">
        <v>65171491</v>
      </c>
      <c r="D197">
        <v>56223463</v>
      </c>
      <c r="E197">
        <v>108</v>
      </c>
      <c r="F197">
        <v>1</v>
      </c>
      <c r="G197">
        <v>1</v>
      </c>
      <c r="H197">
        <v>3</v>
      </c>
      <c r="I197" t="s">
        <v>667</v>
      </c>
      <c r="J197" t="s">
        <v>3</v>
      </c>
      <c r="K197" t="s">
        <v>668</v>
      </c>
      <c r="L197">
        <v>3277935</v>
      </c>
      <c r="N197">
        <v>1013</v>
      </c>
      <c r="O197" t="s">
        <v>669</v>
      </c>
      <c r="P197" t="s">
        <v>669</v>
      </c>
      <c r="Q197">
        <v>1</v>
      </c>
      <c r="W197">
        <v>0</v>
      </c>
      <c r="X197">
        <v>274903907</v>
      </c>
      <c r="Y197">
        <f t="shared" ref="Y197:Y228" si="72">AT197</f>
        <v>2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0</v>
      </c>
      <c r="AP197">
        <v>0</v>
      </c>
      <c r="AQ197">
        <v>1</v>
      </c>
      <c r="AR197">
        <v>0</v>
      </c>
      <c r="AS197" t="s">
        <v>3</v>
      </c>
      <c r="AT197">
        <v>2</v>
      </c>
      <c r="AU197" t="s">
        <v>3</v>
      </c>
      <c r="AV197">
        <v>0</v>
      </c>
      <c r="AW197">
        <v>2</v>
      </c>
      <c r="AX197">
        <v>65171509</v>
      </c>
      <c r="AY197">
        <v>1</v>
      </c>
      <c r="AZ197">
        <v>2048</v>
      </c>
      <c r="BA197">
        <v>197</v>
      </c>
      <c r="BB197">
        <v>1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V197">
        <v>0</v>
      </c>
      <c r="CW197">
        <v>0</v>
      </c>
      <c r="CX197">
        <f>ROUND(Y197*Source!I127,7)</f>
        <v>0.84</v>
      </c>
      <c r="CY197">
        <f>AA197</f>
        <v>0</v>
      </c>
      <c r="CZ197">
        <f>AE197</f>
        <v>0</v>
      </c>
      <c r="DA197">
        <f>AI197</f>
        <v>1</v>
      </c>
      <c r="DB197">
        <f t="shared" ref="DB197:DB228" si="73">ROUND(ROUND(AT197*CZ197,2),6)</f>
        <v>0</v>
      </c>
      <c r="DC197">
        <f t="shared" ref="DC197:DC228" si="74">ROUND(ROUND(AT197*AG197,2),6)</f>
        <v>0</v>
      </c>
      <c r="DD197" t="s">
        <v>3</v>
      </c>
      <c r="DE197" t="s">
        <v>3</v>
      </c>
      <c r="DF197">
        <f t="shared" ref="DF197:DF202" si="75">ROUND(ROUND(AE197,2)*CX197,2)</f>
        <v>0</v>
      </c>
      <c r="DG197">
        <f t="shared" si="70"/>
        <v>0</v>
      </c>
      <c r="DH197">
        <f t="shared" si="71"/>
        <v>0</v>
      </c>
      <c r="DI197">
        <f t="shared" si="55"/>
        <v>0</v>
      </c>
      <c r="DJ197">
        <f>DF197</f>
        <v>0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ROW(Source!A163)</f>
        <v>163</v>
      </c>
      <c r="B198">
        <v>65170852</v>
      </c>
      <c r="C198">
        <v>65171567</v>
      </c>
      <c r="D198">
        <v>37071037</v>
      </c>
      <c r="E198">
        <v>108</v>
      </c>
      <c r="F198">
        <v>1</v>
      </c>
      <c r="G198">
        <v>1</v>
      </c>
      <c r="H198">
        <v>1</v>
      </c>
      <c r="I198" t="s">
        <v>653</v>
      </c>
      <c r="J198" t="s">
        <v>3</v>
      </c>
      <c r="K198" t="s">
        <v>654</v>
      </c>
      <c r="L198">
        <v>1191</v>
      </c>
      <c r="N198">
        <v>1013</v>
      </c>
      <c r="O198" t="s">
        <v>509</v>
      </c>
      <c r="P198" t="s">
        <v>509</v>
      </c>
      <c r="Q198">
        <v>1</v>
      </c>
      <c r="W198">
        <v>0</v>
      </c>
      <c r="X198">
        <v>-1111239348</v>
      </c>
      <c r="Y198">
        <f t="shared" si="72"/>
        <v>38.1</v>
      </c>
      <c r="AA198">
        <v>0</v>
      </c>
      <c r="AB198">
        <v>0</v>
      </c>
      <c r="AC198">
        <v>0</v>
      </c>
      <c r="AD198">
        <v>490.55</v>
      </c>
      <c r="AE198">
        <v>0</v>
      </c>
      <c r="AF198">
        <v>0</v>
      </c>
      <c r="AG198">
        <v>0</v>
      </c>
      <c r="AH198">
        <v>490.55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0</v>
      </c>
      <c r="AP198">
        <v>1</v>
      </c>
      <c r="AQ198">
        <v>1</v>
      </c>
      <c r="AR198">
        <v>0</v>
      </c>
      <c r="AS198" t="s">
        <v>3</v>
      </c>
      <c r="AT198">
        <v>38.1</v>
      </c>
      <c r="AU198" t="s">
        <v>3</v>
      </c>
      <c r="AV198">
        <v>1</v>
      </c>
      <c r="AW198">
        <v>2</v>
      </c>
      <c r="AX198">
        <v>65171577</v>
      </c>
      <c r="AY198">
        <v>1</v>
      </c>
      <c r="AZ198">
        <v>0</v>
      </c>
      <c r="BA198">
        <v>198</v>
      </c>
      <c r="BB198">
        <v>1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18689.955000000002</v>
      </c>
      <c r="BN198">
        <v>38.1</v>
      </c>
      <c r="BO198">
        <v>0</v>
      </c>
      <c r="BP198">
        <v>1</v>
      </c>
      <c r="BQ198">
        <v>0</v>
      </c>
      <c r="BR198">
        <v>0</v>
      </c>
      <c r="BS198">
        <v>0</v>
      </c>
      <c r="BT198">
        <v>18689.955000000002</v>
      </c>
      <c r="BU198">
        <v>38.1</v>
      </c>
      <c r="BV198">
        <v>0</v>
      </c>
      <c r="BW198">
        <v>1</v>
      </c>
      <c r="CU198">
        <f>ROUND(AT198*Source!I163*AH198*AL198,2)</f>
        <v>18689.96</v>
      </c>
      <c r="CV198">
        <f>ROUND(Y198*Source!I163,7)</f>
        <v>38.1</v>
      </c>
      <c r="CW198">
        <v>0</v>
      </c>
      <c r="CX198">
        <f>ROUND(Y198*Source!I163,7)</f>
        <v>38.1</v>
      </c>
      <c r="CY198">
        <f>AD198</f>
        <v>490.55</v>
      </c>
      <c r="CZ198">
        <f>AH198</f>
        <v>490.55</v>
      </c>
      <c r="DA198">
        <f>AL198</f>
        <v>1</v>
      </c>
      <c r="DB198">
        <f t="shared" si="73"/>
        <v>18689.96</v>
      </c>
      <c r="DC198">
        <f t="shared" si="74"/>
        <v>0</v>
      </c>
      <c r="DD198" t="s">
        <v>3</v>
      </c>
      <c r="DE198" t="s">
        <v>3</v>
      </c>
      <c r="DF198">
        <f t="shared" si="75"/>
        <v>0</v>
      </c>
      <c r="DG198">
        <f t="shared" si="70"/>
        <v>0</v>
      </c>
      <c r="DH198">
        <f t="shared" si="71"/>
        <v>0</v>
      </c>
      <c r="DI198">
        <f t="shared" si="55"/>
        <v>18689.96</v>
      </c>
      <c r="DJ198">
        <f>DI198</f>
        <v>18689.96</v>
      </c>
      <c r="DK198">
        <v>1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ROW(Source!A163)</f>
        <v>163</v>
      </c>
      <c r="B199">
        <v>65170852</v>
      </c>
      <c r="C199">
        <v>65171567</v>
      </c>
      <c r="D199">
        <v>37064876</v>
      </c>
      <c r="E199">
        <v>108</v>
      </c>
      <c r="F199">
        <v>1</v>
      </c>
      <c r="G199">
        <v>1</v>
      </c>
      <c r="H199">
        <v>1</v>
      </c>
      <c r="I199" t="s">
        <v>510</v>
      </c>
      <c r="J199" t="s">
        <v>3</v>
      </c>
      <c r="K199" t="s">
        <v>511</v>
      </c>
      <c r="L199">
        <v>1191</v>
      </c>
      <c r="N199">
        <v>1013</v>
      </c>
      <c r="O199" t="s">
        <v>509</v>
      </c>
      <c r="P199" t="s">
        <v>509</v>
      </c>
      <c r="Q199">
        <v>1</v>
      </c>
      <c r="W199">
        <v>0</v>
      </c>
      <c r="X199">
        <v>-1417349443</v>
      </c>
      <c r="Y199">
        <f t="shared" si="72"/>
        <v>11.08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0</v>
      </c>
      <c r="AP199">
        <v>1</v>
      </c>
      <c r="AQ199">
        <v>1</v>
      </c>
      <c r="AR199">
        <v>0</v>
      </c>
      <c r="AS199" t="s">
        <v>3</v>
      </c>
      <c r="AT199">
        <v>11.08</v>
      </c>
      <c r="AU199" t="s">
        <v>3</v>
      </c>
      <c r="AV199">
        <v>2</v>
      </c>
      <c r="AW199">
        <v>2</v>
      </c>
      <c r="AX199">
        <v>65171578</v>
      </c>
      <c r="AY199">
        <v>1</v>
      </c>
      <c r="AZ199">
        <v>0</v>
      </c>
      <c r="BA199">
        <v>199</v>
      </c>
      <c r="BB199">
        <v>1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V199">
        <v>0</v>
      </c>
      <c r="CW199">
        <v>0</v>
      </c>
      <c r="CX199">
        <f>ROUND(Y199*Source!I163,7)</f>
        <v>11.08</v>
      </c>
      <c r="CY199">
        <f>AD199</f>
        <v>0</v>
      </c>
      <c r="CZ199">
        <f>AH199</f>
        <v>0</v>
      </c>
      <c r="DA199">
        <f>AL199</f>
        <v>1</v>
      </c>
      <c r="DB199">
        <f t="shared" si="73"/>
        <v>0</v>
      </c>
      <c r="DC199">
        <f t="shared" si="74"/>
        <v>0</v>
      </c>
      <c r="DD199" t="s">
        <v>3</v>
      </c>
      <c r="DE199" t="s">
        <v>3</v>
      </c>
      <c r="DF199">
        <f t="shared" si="75"/>
        <v>0</v>
      </c>
      <c r="DG199">
        <f t="shared" si="70"/>
        <v>0</v>
      </c>
      <c r="DH199">
        <f t="shared" si="71"/>
        <v>0</v>
      </c>
      <c r="DI199">
        <f t="shared" si="55"/>
        <v>0</v>
      </c>
      <c r="DJ199">
        <f>DI199</f>
        <v>0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ROW(Source!A163)</f>
        <v>163</v>
      </c>
      <c r="B200">
        <v>65170852</v>
      </c>
      <c r="C200">
        <v>65171567</v>
      </c>
      <c r="D200">
        <v>56571417</v>
      </c>
      <c r="E200">
        <v>1</v>
      </c>
      <c r="F200">
        <v>1</v>
      </c>
      <c r="G200">
        <v>1</v>
      </c>
      <c r="H200">
        <v>2</v>
      </c>
      <c r="I200" t="s">
        <v>512</v>
      </c>
      <c r="J200" t="s">
        <v>513</v>
      </c>
      <c r="K200" t="s">
        <v>514</v>
      </c>
      <c r="L200">
        <v>1368</v>
      </c>
      <c r="N200">
        <v>1011</v>
      </c>
      <c r="O200" t="s">
        <v>515</v>
      </c>
      <c r="P200" t="s">
        <v>515</v>
      </c>
      <c r="Q200">
        <v>1</v>
      </c>
      <c r="W200">
        <v>0</v>
      </c>
      <c r="X200">
        <v>-848025172</v>
      </c>
      <c r="Y200">
        <f t="shared" si="72"/>
        <v>9.0500000000000007</v>
      </c>
      <c r="AA200">
        <v>0</v>
      </c>
      <c r="AB200">
        <v>1551.19</v>
      </c>
      <c r="AC200">
        <v>658.94</v>
      </c>
      <c r="AD200">
        <v>0</v>
      </c>
      <c r="AE200">
        <v>0</v>
      </c>
      <c r="AF200">
        <v>1551.19</v>
      </c>
      <c r="AG200">
        <v>658.94</v>
      </c>
      <c r="AH200">
        <v>0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0</v>
      </c>
      <c r="AP200">
        <v>1</v>
      </c>
      <c r="AQ200">
        <v>1</v>
      </c>
      <c r="AR200">
        <v>0</v>
      </c>
      <c r="AS200" t="s">
        <v>3</v>
      </c>
      <c r="AT200">
        <v>9.0500000000000007</v>
      </c>
      <c r="AU200" t="s">
        <v>3</v>
      </c>
      <c r="AV200">
        <v>1</v>
      </c>
      <c r="AW200">
        <v>2</v>
      </c>
      <c r="AX200">
        <v>65171579</v>
      </c>
      <c r="AY200">
        <v>1</v>
      </c>
      <c r="AZ200">
        <v>0</v>
      </c>
      <c r="BA200">
        <v>200</v>
      </c>
      <c r="BB200">
        <v>1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14038.269500000002</v>
      </c>
      <c r="BL200">
        <v>5963.4070000000011</v>
      </c>
      <c r="BM200">
        <v>0</v>
      </c>
      <c r="BN200">
        <v>0</v>
      </c>
      <c r="BO200">
        <v>9.0500000000000007</v>
      </c>
      <c r="BP200">
        <v>1</v>
      </c>
      <c r="BQ200">
        <v>0</v>
      </c>
      <c r="BR200">
        <v>14038.269500000002</v>
      </c>
      <c r="BS200">
        <v>5963.4070000000011</v>
      </c>
      <c r="BT200">
        <v>0</v>
      </c>
      <c r="BU200">
        <v>0</v>
      </c>
      <c r="BV200">
        <v>9.0500000000000007</v>
      </c>
      <c r="BW200">
        <v>1</v>
      </c>
      <c r="CV200">
        <v>0</v>
      </c>
      <c r="CW200">
        <f>ROUND(Y200*Source!I163*DO200,7)</f>
        <v>9.0500000000000007</v>
      </c>
      <c r="CX200">
        <f>ROUND(Y200*Source!I163,7)</f>
        <v>9.0500000000000007</v>
      </c>
      <c r="CY200">
        <f>AB200</f>
        <v>1551.19</v>
      </c>
      <c r="CZ200">
        <f>AF200</f>
        <v>1551.19</v>
      </c>
      <c r="DA200">
        <f>AJ200</f>
        <v>1</v>
      </c>
      <c r="DB200">
        <f t="shared" si="73"/>
        <v>14038.27</v>
      </c>
      <c r="DC200">
        <f t="shared" si="74"/>
        <v>5963.41</v>
      </c>
      <c r="DD200" t="s">
        <v>3</v>
      </c>
      <c r="DE200" t="s">
        <v>3</v>
      </c>
      <c r="DF200">
        <f t="shared" si="75"/>
        <v>0</v>
      </c>
      <c r="DG200">
        <f t="shared" si="70"/>
        <v>14038.27</v>
      </c>
      <c r="DH200">
        <f t="shared" si="71"/>
        <v>5963.41</v>
      </c>
      <c r="DI200">
        <f t="shared" si="55"/>
        <v>0</v>
      </c>
      <c r="DJ200">
        <f>DG200+DH200</f>
        <v>20001.68</v>
      </c>
      <c r="DK200">
        <v>1</v>
      </c>
      <c r="DL200" t="s">
        <v>516</v>
      </c>
      <c r="DM200">
        <v>6</v>
      </c>
      <c r="DN200" t="s">
        <v>509</v>
      </c>
      <c r="DO200">
        <v>1</v>
      </c>
    </row>
    <row r="201" spans="1:119" x14ac:dyDescent="0.2">
      <c r="A201">
        <f>ROW(Source!A163)</f>
        <v>163</v>
      </c>
      <c r="B201">
        <v>65170852</v>
      </c>
      <c r="C201">
        <v>65171567</v>
      </c>
      <c r="D201">
        <v>56572833</v>
      </c>
      <c r="E201">
        <v>1</v>
      </c>
      <c r="F201">
        <v>1</v>
      </c>
      <c r="G201">
        <v>1</v>
      </c>
      <c r="H201">
        <v>2</v>
      </c>
      <c r="I201" t="s">
        <v>520</v>
      </c>
      <c r="J201" t="s">
        <v>521</v>
      </c>
      <c r="K201" t="s">
        <v>522</v>
      </c>
      <c r="L201">
        <v>1368</v>
      </c>
      <c r="N201">
        <v>1011</v>
      </c>
      <c r="O201" t="s">
        <v>515</v>
      </c>
      <c r="P201" t="s">
        <v>515</v>
      </c>
      <c r="Q201">
        <v>1</v>
      </c>
      <c r="W201">
        <v>0</v>
      </c>
      <c r="X201">
        <v>1230426758</v>
      </c>
      <c r="Y201">
        <f t="shared" si="72"/>
        <v>2.0299999999999998</v>
      </c>
      <c r="AA201">
        <v>0</v>
      </c>
      <c r="AB201">
        <v>578.28</v>
      </c>
      <c r="AC201">
        <v>490.55</v>
      </c>
      <c r="AD201">
        <v>0</v>
      </c>
      <c r="AE201">
        <v>0</v>
      </c>
      <c r="AF201">
        <v>477.92</v>
      </c>
      <c r="AG201">
        <v>490.55</v>
      </c>
      <c r="AH201">
        <v>0</v>
      </c>
      <c r="AI201">
        <v>1</v>
      </c>
      <c r="AJ201">
        <v>1.21</v>
      </c>
      <c r="AK201">
        <v>1</v>
      </c>
      <c r="AL201">
        <v>1</v>
      </c>
      <c r="AM201">
        <v>2</v>
      </c>
      <c r="AN201">
        <v>0</v>
      </c>
      <c r="AO201">
        <v>0</v>
      </c>
      <c r="AP201">
        <v>1</v>
      </c>
      <c r="AQ201">
        <v>1</v>
      </c>
      <c r="AR201">
        <v>0</v>
      </c>
      <c r="AS201" t="s">
        <v>3</v>
      </c>
      <c r="AT201">
        <v>2.0299999999999998</v>
      </c>
      <c r="AU201" t="s">
        <v>3</v>
      </c>
      <c r="AV201">
        <v>1</v>
      </c>
      <c r="AW201">
        <v>2</v>
      </c>
      <c r="AX201">
        <v>65171580</v>
      </c>
      <c r="AY201">
        <v>1</v>
      </c>
      <c r="AZ201">
        <v>0</v>
      </c>
      <c r="BA201">
        <v>201</v>
      </c>
      <c r="BB201">
        <v>1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970.17759999999998</v>
      </c>
      <c r="BL201">
        <v>995.81649999999991</v>
      </c>
      <c r="BM201">
        <v>0</v>
      </c>
      <c r="BN201">
        <v>0</v>
      </c>
      <c r="BO201">
        <v>2.0299999999999998</v>
      </c>
      <c r="BP201">
        <v>1</v>
      </c>
      <c r="BQ201">
        <v>0</v>
      </c>
      <c r="BR201">
        <v>970.17759999999998</v>
      </c>
      <c r="BS201">
        <v>995.81649999999991</v>
      </c>
      <c r="BT201">
        <v>0</v>
      </c>
      <c r="BU201">
        <v>0</v>
      </c>
      <c r="BV201">
        <v>2.0299999999999998</v>
      </c>
      <c r="BW201">
        <v>1</v>
      </c>
      <c r="CV201">
        <v>0</v>
      </c>
      <c r="CW201">
        <f>ROUND(Y201*Source!I163*DO201,7)</f>
        <v>2.0299999999999998</v>
      </c>
      <c r="CX201">
        <f>ROUND(Y201*Source!I163,7)</f>
        <v>2.0299999999999998</v>
      </c>
      <c r="CY201">
        <f>AB201</f>
        <v>578.28</v>
      </c>
      <c r="CZ201">
        <f>AF201</f>
        <v>477.92</v>
      </c>
      <c r="DA201">
        <f>AJ201</f>
        <v>1.21</v>
      </c>
      <c r="DB201">
        <f t="shared" si="73"/>
        <v>970.18</v>
      </c>
      <c r="DC201">
        <f t="shared" si="74"/>
        <v>995.82</v>
      </c>
      <c r="DD201" t="s">
        <v>3</v>
      </c>
      <c r="DE201" t="s">
        <v>3</v>
      </c>
      <c r="DF201">
        <f t="shared" si="75"/>
        <v>0</v>
      </c>
      <c r="DG201">
        <f>ROUND(ROUND(AF201*AJ201,2)*CX201,2)</f>
        <v>1173.9100000000001</v>
      </c>
      <c r="DH201">
        <f t="shared" si="71"/>
        <v>995.82</v>
      </c>
      <c r="DI201">
        <f t="shared" si="55"/>
        <v>0</v>
      </c>
      <c r="DJ201">
        <f>DG201+DH201</f>
        <v>2169.73</v>
      </c>
      <c r="DK201">
        <v>0</v>
      </c>
      <c r="DL201" t="s">
        <v>523</v>
      </c>
      <c r="DM201">
        <v>4</v>
      </c>
      <c r="DN201" t="s">
        <v>509</v>
      </c>
      <c r="DO201">
        <v>1</v>
      </c>
    </row>
    <row r="202" spans="1:119" x14ac:dyDescent="0.2">
      <c r="A202">
        <f>ROW(Source!A163)</f>
        <v>163</v>
      </c>
      <c r="B202">
        <v>65170852</v>
      </c>
      <c r="C202">
        <v>65171567</v>
      </c>
      <c r="D202">
        <v>56573153</v>
      </c>
      <c r="E202">
        <v>1</v>
      </c>
      <c r="F202">
        <v>1</v>
      </c>
      <c r="G202">
        <v>1</v>
      </c>
      <c r="H202">
        <v>2</v>
      </c>
      <c r="I202" t="s">
        <v>655</v>
      </c>
      <c r="J202" t="s">
        <v>656</v>
      </c>
      <c r="K202" t="s">
        <v>657</v>
      </c>
      <c r="L202">
        <v>1368</v>
      </c>
      <c r="N202">
        <v>1011</v>
      </c>
      <c r="O202" t="s">
        <v>515</v>
      </c>
      <c r="P202" t="s">
        <v>515</v>
      </c>
      <c r="Q202">
        <v>1</v>
      </c>
      <c r="W202">
        <v>0</v>
      </c>
      <c r="X202">
        <v>1280601743</v>
      </c>
      <c r="Y202">
        <f t="shared" si="72"/>
        <v>2.0099999999999998</v>
      </c>
      <c r="AA202">
        <v>0</v>
      </c>
      <c r="AB202">
        <v>26.32</v>
      </c>
      <c r="AC202">
        <v>0</v>
      </c>
      <c r="AD202">
        <v>0</v>
      </c>
      <c r="AE202">
        <v>0</v>
      </c>
      <c r="AF202">
        <v>26.32</v>
      </c>
      <c r="AG202">
        <v>0</v>
      </c>
      <c r="AH202">
        <v>0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0</v>
      </c>
      <c r="AP202">
        <v>1</v>
      </c>
      <c r="AQ202">
        <v>1</v>
      </c>
      <c r="AR202">
        <v>0</v>
      </c>
      <c r="AS202" t="s">
        <v>3</v>
      </c>
      <c r="AT202">
        <v>2.0099999999999998</v>
      </c>
      <c r="AU202" t="s">
        <v>3</v>
      </c>
      <c r="AV202">
        <v>1</v>
      </c>
      <c r="AW202">
        <v>2</v>
      </c>
      <c r="AX202">
        <v>65171581</v>
      </c>
      <c r="AY202">
        <v>1</v>
      </c>
      <c r="AZ202">
        <v>0</v>
      </c>
      <c r="BA202">
        <v>202</v>
      </c>
      <c r="BB202">
        <v>1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52.903199999999998</v>
      </c>
      <c r="BL202">
        <v>0</v>
      </c>
      <c r="BM202">
        <v>0</v>
      </c>
      <c r="BN202">
        <v>0</v>
      </c>
      <c r="BO202">
        <v>0</v>
      </c>
      <c r="BP202">
        <v>1</v>
      </c>
      <c r="BQ202">
        <v>0</v>
      </c>
      <c r="BR202">
        <v>52.903199999999998</v>
      </c>
      <c r="BS202">
        <v>0</v>
      </c>
      <c r="BT202">
        <v>0</v>
      </c>
      <c r="BU202">
        <v>0</v>
      </c>
      <c r="BV202">
        <v>0</v>
      </c>
      <c r="BW202">
        <v>1</v>
      </c>
      <c r="CV202">
        <v>0</v>
      </c>
      <c r="CW202">
        <f>ROUND(Y202*Source!I163*DO202,7)</f>
        <v>0</v>
      </c>
      <c r="CX202">
        <f>ROUND(Y202*Source!I163,7)</f>
        <v>2.0099999999999998</v>
      </c>
      <c r="CY202">
        <f>AB202</f>
        <v>26.32</v>
      </c>
      <c r="CZ202">
        <f>AF202</f>
        <v>26.32</v>
      </c>
      <c r="DA202">
        <f>AJ202</f>
        <v>1</v>
      </c>
      <c r="DB202">
        <f t="shared" si="73"/>
        <v>52.9</v>
      </c>
      <c r="DC202">
        <f t="shared" si="74"/>
        <v>0</v>
      </c>
      <c r="DD202" t="s">
        <v>3</v>
      </c>
      <c r="DE202" t="s">
        <v>3</v>
      </c>
      <c r="DF202">
        <f t="shared" si="75"/>
        <v>0</v>
      </c>
      <c r="DG202">
        <f t="shared" ref="DG202:DG209" si="76">ROUND(ROUND(AF202,2)*CX202,2)</f>
        <v>52.9</v>
      </c>
      <c r="DH202">
        <f t="shared" si="71"/>
        <v>0</v>
      </c>
      <c r="DI202">
        <f t="shared" si="55"/>
        <v>0</v>
      </c>
      <c r="DJ202">
        <f>DG202+DH202</f>
        <v>52.9</v>
      </c>
      <c r="DK202">
        <v>1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ROW(Source!A163)</f>
        <v>163</v>
      </c>
      <c r="B203">
        <v>65170852</v>
      </c>
      <c r="C203">
        <v>65171567</v>
      </c>
      <c r="D203">
        <v>56574475</v>
      </c>
      <c r="E203">
        <v>1</v>
      </c>
      <c r="F203">
        <v>1</v>
      </c>
      <c r="G203">
        <v>1</v>
      </c>
      <c r="H203">
        <v>3</v>
      </c>
      <c r="I203" t="s">
        <v>658</v>
      </c>
      <c r="J203" t="s">
        <v>659</v>
      </c>
      <c r="K203" t="s">
        <v>660</v>
      </c>
      <c r="L203">
        <v>1348</v>
      </c>
      <c r="N203">
        <v>1009</v>
      </c>
      <c r="O203" t="s">
        <v>94</v>
      </c>
      <c r="P203" t="s">
        <v>94</v>
      </c>
      <c r="Q203">
        <v>1000</v>
      </c>
      <c r="W203">
        <v>0</v>
      </c>
      <c r="X203">
        <v>1612360833</v>
      </c>
      <c r="Y203">
        <f t="shared" si="72"/>
        <v>1.5E-3</v>
      </c>
      <c r="AA203">
        <v>366063.06</v>
      </c>
      <c r="AB203">
        <v>0</v>
      </c>
      <c r="AC203">
        <v>0</v>
      </c>
      <c r="AD203">
        <v>0</v>
      </c>
      <c r="AE203">
        <v>305052.55</v>
      </c>
      <c r="AF203">
        <v>0</v>
      </c>
      <c r="AG203">
        <v>0</v>
      </c>
      <c r="AH203">
        <v>0</v>
      </c>
      <c r="AI203">
        <v>1.2</v>
      </c>
      <c r="AJ203">
        <v>1</v>
      </c>
      <c r="AK203">
        <v>1</v>
      </c>
      <c r="AL203">
        <v>1</v>
      </c>
      <c r="AM203">
        <v>2</v>
      </c>
      <c r="AN203">
        <v>0</v>
      </c>
      <c r="AO203">
        <v>0</v>
      </c>
      <c r="AP203">
        <v>1</v>
      </c>
      <c r="AQ203">
        <v>1</v>
      </c>
      <c r="AR203">
        <v>0</v>
      </c>
      <c r="AS203" t="s">
        <v>3</v>
      </c>
      <c r="AT203">
        <v>1.5E-3</v>
      </c>
      <c r="AU203" t="s">
        <v>3</v>
      </c>
      <c r="AV203">
        <v>0</v>
      </c>
      <c r="AW203">
        <v>2</v>
      </c>
      <c r="AX203">
        <v>65171582</v>
      </c>
      <c r="AY203">
        <v>1</v>
      </c>
      <c r="AZ203">
        <v>0</v>
      </c>
      <c r="BA203">
        <v>203</v>
      </c>
      <c r="BB203">
        <v>1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457.57882499999999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1</v>
      </c>
      <c r="BQ203">
        <v>457.57882499999999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1</v>
      </c>
      <c r="CV203">
        <v>0</v>
      </c>
      <c r="CW203">
        <v>0</v>
      </c>
      <c r="CX203">
        <f>ROUND(Y203*Source!I163,7)</f>
        <v>1.5E-3</v>
      </c>
      <c r="CY203">
        <f>AA203</f>
        <v>366063.06</v>
      </c>
      <c r="CZ203">
        <f>AE203</f>
        <v>305052.55</v>
      </c>
      <c r="DA203">
        <f>AI203</f>
        <v>1.2</v>
      </c>
      <c r="DB203">
        <f t="shared" si="73"/>
        <v>457.58</v>
      </c>
      <c r="DC203">
        <f t="shared" si="74"/>
        <v>0</v>
      </c>
      <c r="DD203" t="s">
        <v>3</v>
      </c>
      <c r="DE203" t="s">
        <v>3</v>
      </c>
      <c r="DF203">
        <f>ROUND(ROUND(AE203*AI203,2)*CX203,2)</f>
        <v>549.09</v>
      </c>
      <c r="DG203">
        <f t="shared" si="76"/>
        <v>0</v>
      </c>
      <c r="DH203">
        <f t="shared" si="71"/>
        <v>0</v>
      </c>
      <c r="DI203">
        <f t="shared" si="55"/>
        <v>0</v>
      </c>
      <c r="DJ203">
        <f>DF203</f>
        <v>549.09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ROW(Source!A163)</f>
        <v>163</v>
      </c>
      <c r="B204">
        <v>65170852</v>
      </c>
      <c r="C204">
        <v>65171567</v>
      </c>
      <c r="D204">
        <v>56579266</v>
      </c>
      <c r="E204">
        <v>1</v>
      </c>
      <c r="F204">
        <v>1</v>
      </c>
      <c r="G204">
        <v>1</v>
      </c>
      <c r="H204">
        <v>3</v>
      </c>
      <c r="I204" t="s">
        <v>550</v>
      </c>
      <c r="J204" t="s">
        <v>551</v>
      </c>
      <c r="K204" t="s">
        <v>552</v>
      </c>
      <c r="L204">
        <v>1346</v>
      </c>
      <c r="N204">
        <v>1009</v>
      </c>
      <c r="O204" t="s">
        <v>549</v>
      </c>
      <c r="P204" t="s">
        <v>549</v>
      </c>
      <c r="Q204">
        <v>1</v>
      </c>
      <c r="W204">
        <v>0</v>
      </c>
      <c r="X204">
        <v>-1545686836</v>
      </c>
      <c r="Y204">
        <f t="shared" si="72"/>
        <v>0.5</v>
      </c>
      <c r="AA204">
        <v>147.85</v>
      </c>
      <c r="AB204">
        <v>0</v>
      </c>
      <c r="AC204">
        <v>0</v>
      </c>
      <c r="AD204">
        <v>0</v>
      </c>
      <c r="AE204">
        <v>155.63</v>
      </c>
      <c r="AF204">
        <v>0</v>
      </c>
      <c r="AG204">
        <v>0</v>
      </c>
      <c r="AH204">
        <v>0</v>
      </c>
      <c r="AI204">
        <v>0.95</v>
      </c>
      <c r="AJ204">
        <v>1</v>
      </c>
      <c r="AK204">
        <v>1</v>
      </c>
      <c r="AL204">
        <v>1</v>
      </c>
      <c r="AM204">
        <v>2</v>
      </c>
      <c r="AN204">
        <v>0</v>
      </c>
      <c r="AO204">
        <v>0</v>
      </c>
      <c r="AP204">
        <v>1</v>
      </c>
      <c r="AQ204">
        <v>1</v>
      </c>
      <c r="AR204">
        <v>0</v>
      </c>
      <c r="AS204" t="s">
        <v>3</v>
      </c>
      <c r="AT204">
        <v>0.5</v>
      </c>
      <c r="AU204" t="s">
        <v>3</v>
      </c>
      <c r="AV204">
        <v>0</v>
      </c>
      <c r="AW204">
        <v>2</v>
      </c>
      <c r="AX204">
        <v>65171583</v>
      </c>
      <c r="AY204">
        <v>1</v>
      </c>
      <c r="AZ204">
        <v>0</v>
      </c>
      <c r="BA204">
        <v>204</v>
      </c>
      <c r="BB204">
        <v>1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77.814999999999998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1</v>
      </c>
      <c r="BQ204">
        <v>77.814999999999998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1</v>
      </c>
      <c r="CV204">
        <v>0</v>
      </c>
      <c r="CW204">
        <v>0</v>
      </c>
      <c r="CX204">
        <f>ROUND(Y204*Source!I163,7)</f>
        <v>0.5</v>
      </c>
      <c r="CY204">
        <f>AA204</f>
        <v>147.85</v>
      </c>
      <c r="CZ204">
        <f>AE204</f>
        <v>155.63</v>
      </c>
      <c r="DA204">
        <f>AI204</f>
        <v>0.95</v>
      </c>
      <c r="DB204">
        <f t="shared" si="73"/>
        <v>77.819999999999993</v>
      </c>
      <c r="DC204">
        <f t="shared" si="74"/>
        <v>0</v>
      </c>
      <c r="DD204" t="s">
        <v>3</v>
      </c>
      <c r="DE204" t="s">
        <v>3</v>
      </c>
      <c r="DF204">
        <f>ROUND(ROUND(AE204*AI204,2)*CX204,2)</f>
        <v>73.930000000000007</v>
      </c>
      <c r="DG204">
        <f t="shared" si="76"/>
        <v>0</v>
      </c>
      <c r="DH204">
        <f t="shared" si="71"/>
        <v>0</v>
      </c>
      <c r="DI204">
        <f t="shared" si="55"/>
        <v>0</v>
      </c>
      <c r="DJ204">
        <f>DF204</f>
        <v>73.930000000000007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ROW(Source!A163)</f>
        <v>163</v>
      </c>
      <c r="B205">
        <v>65170852</v>
      </c>
      <c r="C205">
        <v>65171567</v>
      </c>
      <c r="D205">
        <v>56592838</v>
      </c>
      <c r="E205">
        <v>1</v>
      </c>
      <c r="F205">
        <v>1</v>
      </c>
      <c r="G205">
        <v>1</v>
      </c>
      <c r="H205">
        <v>3</v>
      </c>
      <c r="I205" t="s">
        <v>661</v>
      </c>
      <c r="J205" t="s">
        <v>662</v>
      </c>
      <c r="K205" t="s">
        <v>663</v>
      </c>
      <c r="L205">
        <v>1348</v>
      </c>
      <c r="N205">
        <v>1009</v>
      </c>
      <c r="O205" t="s">
        <v>94</v>
      </c>
      <c r="P205" t="s">
        <v>94</v>
      </c>
      <c r="Q205">
        <v>1000</v>
      </c>
      <c r="W205">
        <v>0</v>
      </c>
      <c r="X205">
        <v>1567871126</v>
      </c>
      <c r="Y205">
        <f t="shared" si="72"/>
        <v>8.9999999999999993E-3</v>
      </c>
      <c r="AA205">
        <v>61873.2</v>
      </c>
      <c r="AB205">
        <v>0</v>
      </c>
      <c r="AC205">
        <v>0</v>
      </c>
      <c r="AD205">
        <v>0</v>
      </c>
      <c r="AE205">
        <v>70310.45</v>
      </c>
      <c r="AF205">
        <v>0</v>
      </c>
      <c r="AG205">
        <v>0</v>
      </c>
      <c r="AH205">
        <v>0</v>
      </c>
      <c r="AI205">
        <v>0.88</v>
      </c>
      <c r="AJ205">
        <v>1</v>
      </c>
      <c r="AK205">
        <v>1</v>
      </c>
      <c r="AL205">
        <v>1</v>
      </c>
      <c r="AM205">
        <v>2</v>
      </c>
      <c r="AN205">
        <v>0</v>
      </c>
      <c r="AO205">
        <v>0</v>
      </c>
      <c r="AP205">
        <v>1</v>
      </c>
      <c r="AQ205">
        <v>1</v>
      </c>
      <c r="AR205">
        <v>0</v>
      </c>
      <c r="AS205" t="s">
        <v>3</v>
      </c>
      <c r="AT205">
        <v>8.9999999999999993E-3</v>
      </c>
      <c r="AU205" t="s">
        <v>3</v>
      </c>
      <c r="AV205">
        <v>0</v>
      </c>
      <c r="AW205">
        <v>2</v>
      </c>
      <c r="AX205">
        <v>65171584</v>
      </c>
      <c r="AY205">
        <v>1</v>
      </c>
      <c r="AZ205">
        <v>0</v>
      </c>
      <c r="BA205">
        <v>205</v>
      </c>
      <c r="BB205">
        <v>1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632.79404999999997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1</v>
      </c>
      <c r="BQ205">
        <v>632.79404999999997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1</v>
      </c>
      <c r="CV205">
        <v>0</v>
      </c>
      <c r="CW205">
        <v>0</v>
      </c>
      <c r="CX205">
        <f>ROUND(Y205*Source!I163,7)</f>
        <v>8.9999999999999993E-3</v>
      </c>
      <c r="CY205">
        <f>AA205</f>
        <v>61873.2</v>
      </c>
      <c r="CZ205">
        <f>AE205</f>
        <v>70310.45</v>
      </c>
      <c r="DA205">
        <f>AI205</f>
        <v>0.88</v>
      </c>
      <c r="DB205">
        <f t="shared" si="73"/>
        <v>632.79</v>
      </c>
      <c r="DC205">
        <f t="shared" si="74"/>
        <v>0</v>
      </c>
      <c r="DD205" t="s">
        <v>3</v>
      </c>
      <c r="DE205" t="s">
        <v>3</v>
      </c>
      <c r="DF205">
        <f>ROUND(ROUND(AE205*AI205,2)*CX205,2)</f>
        <v>556.86</v>
      </c>
      <c r="DG205">
        <f t="shared" si="76"/>
        <v>0</v>
      </c>
      <c r="DH205">
        <f t="shared" si="71"/>
        <v>0</v>
      </c>
      <c r="DI205">
        <f t="shared" si="55"/>
        <v>0</v>
      </c>
      <c r="DJ205">
        <f>DF205</f>
        <v>556.86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ROW(Source!A163)</f>
        <v>163</v>
      </c>
      <c r="B206">
        <v>65170852</v>
      </c>
      <c r="C206">
        <v>65171567</v>
      </c>
      <c r="D206">
        <v>56610296</v>
      </c>
      <c r="E206">
        <v>1</v>
      </c>
      <c r="F206">
        <v>1</v>
      </c>
      <c r="G206">
        <v>1</v>
      </c>
      <c r="H206">
        <v>3</v>
      </c>
      <c r="I206" t="s">
        <v>664</v>
      </c>
      <c r="J206" t="s">
        <v>665</v>
      </c>
      <c r="K206" t="s">
        <v>666</v>
      </c>
      <c r="L206">
        <v>1348</v>
      </c>
      <c r="N206">
        <v>1009</v>
      </c>
      <c r="O206" t="s">
        <v>94</v>
      </c>
      <c r="P206" t="s">
        <v>94</v>
      </c>
      <c r="Q206">
        <v>1000</v>
      </c>
      <c r="W206">
        <v>0</v>
      </c>
      <c r="X206">
        <v>645998788</v>
      </c>
      <c r="Y206">
        <f t="shared" si="72"/>
        <v>2.4000000000000001E-4</v>
      </c>
      <c r="AA206">
        <v>435262.96</v>
      </c>
      <c r="AB206">
        <v>0</v>
      </c>
      <c r="AC206">
        <v>0</v>
      </c>
      <c r="AD206">
        <v>0</v>
      </c>
      <c r="AE206">
        <v>254539.74</v>
      </c>
      <c r="AF206">
        <v>0</v>
      </c>
      <c r="AG206">
        <v>0</v>
      </c>
      <c r="AH206">
        <v>0</v>
      </c>
      <c r="AI206">
        <v>1.71</v>
      </c>
      <c r="AJ206">
        <v>1</v>
      </c>
      <c r="AK206">
        <v>1</v>
      </c>
      <c r="AL206">
        <v>1</v>
      </c>
      <c r="AM206">
        <v>2</v>
      </c>
      <c r="AN206">
        <v>0</v>
      </c>
      <c r="AO206">
        <v>0</v>
      </c>
      <c r="AP206">
        <v>1</v>
      </c>
      <c r="AQ206">
        <v>1</v>
      </c>
      <c r="AR206">
        <v>0</v>
      </c>
      <c r="AS206" t="s">
        <v>3</v>
      </c>
      <c r="AT206">
        <v>2.4000000000000001E-4</v>
      </c>
      <c r="AU206" t="s">
        <v>3</v>
      </c>
      <c r="AV206">
        <v>0</v>
      </c>
      <c r="AW206">
        <v>2</v>
      </c>
      <c r="AX206">
        <v>65171585</v>
      </c>
      <c r="AY206">
        <v>1</v>
      </c>
      <c r="AZ206">
        <v>0</v>
      </c>
      <c r="BA206">
        <v>206</v>
      </c>
      <c r="BB206">
        <v>1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61.0895376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1</v>
      </c>
      <c r="BQ206">
        <v>61.0895376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1</v>
      </c>
      <c r="CV206">
        <v>0</v>
      </c>
      <c r="CW206">
        <v>0</v>
      </c>
      <c r="CX206">
        <f>ROUND(Y206*Source!I163,7)</f>
        <v>2.4000000000000001E-4</v>
      </c>
      <c r="CY206">
        <f>AA206</f>
        <v>435262.96</v>
      </c>
      <c r="CZ206">
        <f>AE206</f>
        <v>254539.74</v>
      </c>
      <c r="DA206">
        <f>AI206</f>
        <v>1.71</v>
      </c>
      <c r="DB206">
        <f t="shared" si="73"/>
        <v>61.09</v>
      </c>
      <c r="DC206">
        <f t="shared" si="74"/>
        <v>0</v>
      </c>
      <c r="DD206" t="s">
        <v>3</v>
      </c>
      <c r="DE206" t="s">
        <v>3</v>
      </c>
      <c r="DF206">
        <f>ROUND(ROUND(AE206*AI206,2)*CX206,2)</f>
        <v>104.46</v>
      </c>
      <c r="DG206">
        <f t="shared" si="76"/>
        <v>0</v>
      </c>
      <c r="DH206">
        <f t="shared" si="71"/>
        <v>0</v>
      </c>
      <c r="DI206">
        <f t="shared" si="55"/>
        <v>0</v>
      </c>
      <c r="DJ206">
        <f>DF206</f>
        <v>104.46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ROW(Source!A164)</f>
        <v>164</v>
      </c>
      <c r="B207">
        <v>65170852</v>
      </c>
      <c r="C207">
        <v>65171587</v>
      </c>
      <c r="D207">
        <v>37071037</v>
      </c>
      <c r="E207">
        <v>108</v>
      </c>
      <c r="F207">
        <v>1</v>
      </c>
      <c r="G207">
        <v>1</v>
      </c>
      <c r="H207">
        <v>1</v>
      </c>
      <c r="I207" t="s">
        <v>653</v>
      </c>
      <c r="J207" t="s">
        <v>3</v>
      </c>
      <c r="K207" t="s">
        <v>654</v>
      </c>
      <c r="L207">
        <v>1191</v>
      </c>
      <c r="N207">
        <v>1013</v>
      </c>
      <c r="O207" t="s">
        <v>509</v>
      </c>
      <c r="P207" t="s">
        <v>509</v>
      </c>
      <c r="Q207">
        <v>1</v>
      </c>
      <c r="W207">
        <v>0</v>
      </c>
      <c r="X207">
        <v>-1111239348</v>
      </c>
      <c r="Y207">
        <f t="shared" si="72"/>
        <v>19.7</v>
      </c>
      <c r="AA207">
        <v>0</v>
      </c>
      <c r="AB207">
        <v>0</v>
      </c>
      <c r="AC207">
        <v>0</v>
      </c>
      <c r="AD207">
        <v>490.55</v>
      </c>
      <c r="AE207">
        <v>0</v>
      </c>
      <c r="AF207">
        <v>0</v>
      </c>
      <c r="AG207">
        <v>0</v>
      </c>
      <c r="AH207">
        <v>490.55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0</v>
      </c>
      <c r="AP207">
        <v>1</v>
      </c>
      <c r="AQ207">
        <v>1</v>
      </c>
      <c r="AR207">
        <v>0</v>
      </c>
      <c r="AS207" t="s">
        <v>3</v>
      </c>
      <c r="AT207">
        <v>19.7</v>
      </c>
      <c r="AU207" t="s">
        <v>3</v>
      </c>
      <c r="AV207">
        <v>1</v>
      </c>
      <c r="AW207">
        <v>2</v>
      </c>
      <c r="AX207">
        <v>65171594</v>
      </c>
      <c r="AY207">
        <v>1</v>
      </c>
      <c r="AZ207">
        <v>0</v>
      </c>
      <c r="BA207">
        <v>208</v>
      </c>
      <c r="BB207">
        <v>1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9663.8349999999991</v>
      </c>
      <c r="BN207">
        <v>19.7</v>
      </c>
      <c r="BO207">
        <v>0</v>
      </c>
      <c r="BP207">
        <v>1</v>
      </c>
      <c r="BQ207">
        <v>0</v>
      </c>
      <c r="BR207">
        <v>0</v>
      </c>
      <c r="BS207">
        <v>0</v>
      </c>
      <c r="BT207">
        <v>9663.8349999999991</v>
      </c>
      <c r="BU207">
        <v>19.7</v>
      </c>
      <c r="BV207">
        <v>0</v>
      </c>
      <c r="BW207">
        <v>1</v>
      </c>
      <c r="CU207">
        <f>ROUND(AT207*Source!I164*AH207*AL207,2)</f>
        <v>9663.84</v>
      </c>
      <c r="CV207">
        <f>ROUND(Y207*Source!I164,7)</f>
        <v>19.7</v>
      </c>
      <c r="CW207">
        <v>0</v>
      </c>
      <c r="CX207">
        <f>ROUND(Y207*Source!I164,7)</f>
        <v>19.7</v>
      </c>
      <c r="CY207">
        <f>AD207</f>
        <v>490.55</v>
      </c>
      <c r="CZ207">
        <f>AH207</f>
        <v>490.55</v>
      </c>
      <c r="DA207">
        <f>AL207</f>
        <v>1</v>
      </c>
      <c r="DB207">
        <f t="shared" si="73"/>
        <v>9663.84</v>
      </c>
      <c r="DC207">
        <f t="shared" si="74"/>
        <v>0</v>
      </c>
      <c r="DD207" t="s">
        <v>3</v>
      </c>
      <c r="DE207" t="s">
        <v>3</v>
      </c>
      <c r="DF207">
        <f>ROUND(ROUND(AE207,2)*CX207,2)</f>
        <v>0</v>
      </c>
      <c r="DG207">
        <f t="shared" si="76"/>
        <v>0</v>
      </c>
      <c r="DH207">
        <f t="shared" si="71"/>
        <v>0</v>
      </c>
      <c r="DI207">
        <f t="shared" si="55"/>
        <v>9663.84</v>
      </c>
      <c r="DJ207">
        <f>DI207</f>
        <v>9663.84</v>
      </c>
      <c r="DK207">
        <v>1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ROW(Source!A164)</f>
        <v>164</v>
      </c>
      <c r="B208">
        <v>65170852</v>
      </c>
      <c r="C208">
        <v>65171587</v>
      </c>
      <c r="D208">
        <v>37064876</v>
      </c>
      <c r="E208">
        <v>108</v>
      </c>
      <c r="F208">
        <v>1</v>
      </c>
      <c r="G208">
        <v>1</v>
      </c>
      <c r="H208">
        <v>1</v>
      </c>
      <c r="I208" t="s">
        <v>510</v>
      </c>
      <c r="J208" t="s">
        <v>3</v>
      </c>
      <c r="K208" t="s">
        <v>511</v>
      </c>
      <c r="L208">
        <v>1191</v>
      </c>
      <c r="N208">
        <v>1013</v>
      </c>
      <c r="O208" t="s">
        <v>509</v>
      </c>
      <c r="P208" t="s">
        <v>509</v>
      </c>
      <c r="Q208">
        <v>1</v>
      </c>
      <c r="W208">
        <v>0</v>
      </c>
      <c r="X208">
        <v>-1417349443</v>
      </c>
      <c r="Y208">
        <f t="shared" si="72"/>
        <v>1.88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0</v>
      </c>
      <c r="AP208">
        <v>1</v>
      </c>
      <c r="AQ208">
        <v>1</v>
      </c>
      <c r="AR208">
        <v>0</v>
      </c>
      <c r="AS208" t="s">
        <v>3</v>
      </c>
      <c r="AT208">
        <v>1.88</v>
      </c>
      <c r="AU208" t="s">
        <v>3</v>
      </c>
      <c r="AV208">
        <v>2</v>
      </c>
      <c r="AW208">
        <v>2</v>
      </c>
      <c r="AX208">
        <v>65171595</v>
      </c>
      <c r="AY208">
        <v>1</v>
      </c>
      <c r="AZ208">
        <v>0</v>
      </c>
      <c r="BA208">
        <v>209</v>
      </c>
      <c r="BB208">
        <v>1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V208">
        <v>0</v>
      </c>
      <c r="CW208">
        <v>0</v>
      </c>
      <c r="CX208">
        <f>ROUND(Y208*Source!I164,7)</f>
        <v>1.88</v>
      </c>
      <c r="CY208">
        <f>AD208</f>
        <v>0</v>
      </c>
      <c r="CZ208">
        <f>AH208</f>
        <v>0</v>
      </c>
      <c r="DA208">
        <f>AL208</f>
        <v>1</v>
      </c>
      <c r="DB208">
        <f t="shared" si="73"/>
        <v>0</v>
      </c>
      <c r="DC208">
        <f t="shared" si="74"/>
        <v>0</v>
      </c>
      <c r="DD208" t="s">
        <v>3</v>
      </c>
      <c r="DE208" t="s">
        <v>3</v>
      </c>
      <c r="DF208">
        <f>ROUND(ROUND(AE208,2)*CX208,2)</f>
        <v>0</v>
      </c>
      <c r="DG208">
        <f t="shared" si="76"/>
        <v>0</v>
      </c>
      <c r="DH208">
        <f t="shared" si="71"/>
        <v>0</v>
      </c>
      <c r="DI208">
        <f t="shared" si="55"/>
        <v>0</v>
      </c>
      <c r="DJ208">
        <f>DI208</f>
        <v>0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ROW(Source!A164)</f>
        <v>164</v>
      </c>
      <c r="B209">
        <v>65170852</v>
      </c>
      <c r="C209">
        <v>65171587</v>
      </c>
      <c r="D209">
        <v>56571417</v>
      </c>
      <c r="E209">
        <v>1</v>
      </c>
      <c r="F209">
        <v>1</v>
      </c>
      <c r="G209">
        <v>1</v>
      </c>
      <c r="H209">
        <v>2</v>
      </c>
      <c r="I209" t="s">
        <v>512</v>
      </c>
      <c r="J209" t="s">
        <v>513</v>
      </c>
      <c r="K209" t="s">
        <v>514</v>
      </c>
      <c r="L209">
        <v>1368</v>
      </c>
      <c r="N209">
        <v>1011</v>
      </c>
      <c r="O209" t="s">
        <v>515</v>
      </c>
      <c r="P209" t="s">
        <v>515</v>
      </c>
      <c r="Q209">
        <v>1</v>
      </c>
      <c r="W209">
        <v>0</v>
      </c>
      <c r="X209">
        <v>-848025172</v>
      </c>
      <c r="Y209">
        <f t="shared" si="72"/>
        <v>0.9</v>
      </c>
      <c r="AA209">
        <v>0</v>
      </c>
      <c r="AB209">
        <v>1551.19</v>
      </c>
      <c r="AC209">
        <v>658.94</v>
      </c>
      <c r="AD209">
        <v>0</v>
      </c>
      <c r="AE209">
        <v>0</v>
      </c>
      <c r="AF209">
        <v>1551.19</v>
      </c>
      <c r="AG209">
        <v>658.94</v>
      </c>
      <c r="AH209">
        <v>0</v>
      </c>
      <c r="AI209">
        <v>1</v>
      </c>
      <c r="AJ209">
        <v>1</v>
      </c>
      <c r="AK209">
        <v>1</v>
      </c>
      <c r="AL209">
        <v>1</v>
      </c>
      <c r="AM209">
        <v>-2</v>
      </c>
      <c r="AN209">
        <v>0</v>
      </c>
      <c r="AO209">
        <v>0</v>
      </c>
      <c r="AP209">
        <v>1</v>
      </c>
      <c r="AQ209">
        <v>1</v>
      </c>
      <c r="AR209">
        <v>0</v>
      </c>
      <c r="AS209" t="s">
        <v>3</v>
      </c>
      <c r="AT209">
        <v>0.9</v>
      </c>
      <c r="AU209" t="s">
        <v>3</v>
      </c>
      <c r="AV209">
        <v>1</v>
      </c>
      <c r="AW209">
        <v>2</v>
      </c>
      <c r="AX209">
        <v>65171596</v>
      </c>
      <c r="AY209">
        <v>1</v>
      </c>
      <c r="AZ209">
        <v>0</v>
      </c>
      <c r="BA209">
        <v>210</v>
      </c>
      <c r="BB209">
        <v>1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1396.0710000000001</v>
      </c>
      <c r="BL209">
        <v>593.04600000000005</v>
      </c>
      <c r="BM209">
        <v>0</v>
      </c>
      <c r="BN209">
        <v>0</v>
      </c>
      <c r="BO209">
        <v>0.9</v>
      </c>
      <c r="BP209">
        <v>1</v>
      </c>
      <c r="BQ209">
        <v>0</v>
      </c>
      <c r="BR209">
        <v>1396.0710000000001</v>
      </c>
      <c r="BS209">
        <v>593.04600000000005</v>
      </c>
      <c r="BT209">
        <v>0</v>
      </c>
      <c r="BU209">
        <v>0</v>
      </c>
      <c r="BV209">
        <v>0.9</v>
      </c>
      <c r="BW209">
        <v>1</v>
      </c>
      <c r="CV209">
        <v>0</v>
      </c>
      <c r="CW209">
        <f>ROUND(Y209*Source!I164*DO209,7)</f>
        <v>0.9</v>
      </c>
      <c r="CX209">
        <f>ROUND(Y209*Source!I164,7)</f>
        <v>0.9</v>
      </c>
      <c r="CY209">
        <f>AB209</f>
        <v>1551.19</v>
      </c>
      <c r="CZ209">
        <f>AF209</f>
        <v>1551.19</v>
      </c>
      <c r="DA209">
        <f>AJ209</f>
        <v>1</v>
      </c>
      <c r="DB209">
        <f t="shared" si="73"/>
        <v>1396.07</v>
      </c>
      <c r="DC209">
        <f t="shared" si="74"/>
        <v>593.04999999999995</v>
      </c>
      <c r="DD209" t="s">
        <v>3</v>
      </c>
      <c r="DE209" t="s">
        <v>3</v>
      </c>
      <c r="DF209">
        <f>ROUND(ROUND(AE209,2)*CX209,2)</f>
        <v>0</v>
      </c>
      <c r="DG209">
        <f t="shared" si="76"/>
        <v>1396.07</v>
      </c>
      <c r="DH209">
        <f t="shared" si="71"/>
        <v>593.04999999999995</v>
      </c>
      <c r="DI209">
        <f t="shared" ref="DI209:DI272" si="77">ROUND(ROUND(AH209,2)*CX209,2)</f>
        <v>0</v>
      </c>
      <c r="DJ209">
        <f>DG209+DH209</f>
        <v>1989.12</v>
      </c>
      <c r="DK209">
        <v>1</v>
      </c>
      <c r="DL209" t="s">
        <v>516</v>
      </c>
      <c r="DM209">
        <v>6</v>
      </c>
      <c r="DN209" t="s">
        <v>509</v>
      </c>
      <c r="DO209">
        <v>1</v>
      </c>
    </row>
    <row r="210" spans="1:119" x14ac:dyDescent="0.2">
      <c r="A210">
        <f>ROW(Source!A164)</f>
        <v>164</v>
      </c>
      <c r="B210">
        <v>65170852</v>
      </c>
      <c r="C210">
        <v>65171587</v>
      </c>
      <c r="D210">
        <v>56572833</v>
      </c>
      <c r="E210">
        <v>1</v>
      </c>
      <c r="F210">
        <v>1</v>
      </c>
      <c r="G210">
        <v>1</v>
      </c>
      <c r="H210">
        <v>2</v>
      </c>
      <c r="I210" t="s">
        <v>520</v>
      </c>
      <c r="J210" t="s">
        <v>521</v>
      </c>
      <c r="K210" t="s">
        <v>522</v>
      </c>
      <c r="L210">
        <v>1368</v>
      </c>
      <c r="N210">
        <v>1011</v>
      </c>
      <c r="O210" t="s">
        <v>515</v>
      </c>
      <c r="P210" t="s">
        <v>515</v>
      </c>
      <c r="Q210">
        <v>1</v>
      </c>
      <c r="W210">
        <v>0</v>
      </c>
      <c r="X210">
        <v>1230426758</v>
      </c>
      <c r="Y210">
        <f t="shared" si="72"/>
        <v>0.98</v>
      </c>
      <c r="AA210">
        <v>0</v>
      </c>
      <c r="AB210">
        <v>578.28</v>
      </c>
      <c r="AC210">
        <v>490.55</v>
      </c>
      <c r="AD210">
        <v>0</v>
      </c>
      <c r="AE210">
        <v>0</v>
      </c>
      <c r="AF210">
        <v>477.92</v>
      </c>
      <c r="AG210">
        <v>490.55</v>
      </c>
      <c r="AH210">
        <v>0</v>
      </c>
      <c r="AI210">
        <v>1</v>
      </c>
      <c r="AJ210">
        <v>1.21</v>
      </c>
      <c r="AK210">
        <v>1</v>
      </c>
      <c r="AL210">
        <v>1</v>
      </c>
      <c r="AM210">
        <v>2</v>
      </c>
      <c r="AN210">
        <v>0</v>
      </c>
      <c r="AO210">
        <v>0</v>
      </c>
      <c r="AP210">
        <v>1</v>
      </c>
      <c r="AQ210">
        <v>1</v>
      </c>
      <c r="AR210">
        <v>0</v>
      </c>
      <c r="AS210" t="s">
        <v>3</v>
      </c>
      <c r="AT210">
        <v>0.98</v>
      </c>
      <c r="AU210" t="s">
        <v>3</v>
      </c>
      <c r="AV210">
        <v>1</v>
      </c>
      <c r="AW210">
        <v>2</v>
      </c>
      <c r="AX210">
        <v>65171597</v>
      </c>
      <c r="AY210">
        <v>1</v>
      </c>
      <c r="AZ210">
        <v>0</v>
      </c>
      <c r="BA210">
        <v>211</v>
      </c>
      <c r="BB210">
        <v>1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468.36160000000001</v>
      </c>
      <c r="BL210">
        <v>480.73899999999998</v>
      </c>
      <c r="BM210">
        <v>0</v>
      </c>
      <c r="BN210">
        <v>0</v>
      </c>
      <c r="BO210">
        <v>0.98</v>
      </c>
      <c r="BP210">
        <v>1</v>
      </c>
      <c r="BQ210">
        <v>0</v>
      </c>
      <c r="BR210">
        <v>468.36160000000001</v>
      </c>
      <c r="BS210">
        <v>480.73899999999998</v>
      </c>
      <c r="BT210">
        <v>0</v>
      </c>
      <c r="BU210">
        <v>0</v>
      </c>
      <c r="BV210">
        <v>0.98</v>
      </c>
      <c r="BW210">
        <v>1</v>
      </c>
      <c r="CV210">
        <v>0</v>
      </c>
      <c r="CW210">
        <f>ROUND(Y210*Source!I164*DO210,7)</f>
        <v>0.98</v>
      </c>
      <c r="CX210">
        <f>ROUND(Y210*Source!I164,7)</f>
        <v>0.98</v>
      </c>
      <c r="CY210">
        <f>AB210</f>
        <v>578.28</v>
      </c>
      <c r="CZ210">
        <f>AF210</f>
        <v>477.92</v>
      </c>
      <c r="DA210">
        <f>AJ210</f>
        <v>1.21</v>
      </c>
      <c r="DB210">
        <f t="shared" si="73"/>
        <v>468.36</v>
      </c>
      <c r="DC210">
        <f t="shared" si="74"/>
        <v>480.74</v>
      </c>
      <c r="DD210" t="s">
        <v>3</v>
      </c>
      <c r="DE210" t="s">
        <v>3</v>
      </c>
      <c r="DF210">
        <f>ROUND(ROUND(AE210,2)*CX210,2)</f>
        <v>0</v>
      </c>
      <c r="DG210">
        <f>ROUND(ROUND(AF210*AJ210,2)*CX210,2)</f>
        <v>566.71</v>
      </c>
      <c r="DH210">
        <f t="shared" si="71"/>
        <v>480.74</v>
      </c>
      <c r="DI210">
        <f t="shared" si="77"/>
        <v>0</v>
      </c>
      <c r="DJ210">
        <f>DG210+DH210</f>
        <v>1047.45</v>
      </c>
      <c r="DK210">
        <v>0</v>
      </c>
      <c r="DL210" t="s">
        <v>523</v>
      </c>
      <c r="DM210">
        <v>4</v>
      </c>
      <c r="DN210" t="s">
        <v>509</v>
      </c>
      <c r="DO210">
        <v>1</v>
      </c>
    </row>
    <row r="211" spans="1:119" x14ac:dyDescent="0.2">
      <c r="A211">
        <f>ROW(Source!A164)</f>
        <v>164</v>
      </c>
      <c r="B211">
        <v>65170852</v>
      </c>
      <c r="C211">
        <v>65171587</v>
      </c>
      <c r="D211">
        <v>56580636</v>
      </c>
      <c r="E211">
        <v>1</v>
      </c>
      <c r="F211">
        <v>1</v>
      </c>
      <c r="G211">
        <v>1</v>
      </c>
      <c r="H211">
        <v>3</v>
      </c>
      <c r="I211" t="s">
        <v>670</v>
      </c>
      <c r="J211" t="s">
        <v>671</v>
      </c>
      <c r="K211" t="s">
        <v>672</v>
      </c>
      <c r="L211">
        <v>1346</v>
      </c>
      <c r="N211">
        <v>1009</v>
      </c>
      <c r="O211" t="s">
        <v>549</v>
      </c>
      <c r="P211" t="s">
        <v>549</v>
      </c>
      <c r="Q211">
        <v>1</v>
      </c>
      <c r="W211">
        <v>0</v>
      </c>
      <c r="X211">
        <v>673035619</v>
      </c>
      <c r="Y211">
        <f t="shared" si="72"/>
        <v>7</v>
      </c>
      <c r="AA211">
        <v>244.92</v>
      </c>
      <c r="AB211">
        <v>0</v>
      </c>
      <c r="AC211">
        <v>0</v>
      </c>
      <c r="AD211">
        <v>0</v>
      </c>
      <c r="AE211">
        <v>176.2</v>
      </c>
      <c r="AF211">
        <v>0</v>
      </c>
      <c r="AG211">
        <v>0</v>
      </c>
      <c r="AH211">
        <v>0</v>
      </c>
      <c r="AI211">
        <v>1.39</v>
      </c>
      <c r="AJ211">
        <v>1</v>
      </c>
      <c r="AK211">
        <v>1</v>
      </c>
      <c r="AL211">
        <v>1</v>
      </c>
      <c r="AM211">
        <v>2</v>
      </c>
      <c r="AN211">
        <v>0</v>
      </c>
      <c r="AO211">
        <v>0</v>
      </c>
      <c r="AP211">
        <v>1</v>
      </c>
      <c r="AQ211">
        <v>1</v>
      </c>
      <c r="AR211">
        <v>0</v>
      </c>
      <c r="AS211" t="s">
        <v>3</v>
      </c>
      <c r="AT211">
        <v>7</v>
      </c>
      <c r="AU211" t="s">
        <v>3</v>
      </c>
      <c r="AV211">
        <v>0</v>
      </c>
      <c r="AW211">
        <v>2</v>
      </c>
      <c r="AX211">
        <v>65171598</v>
      </c>
      <c r="AY211">
        <v>1</v>
      </c>
      <c r="AZ211">
        <v>0</v>
      </c>
      <c r="BA211">
        <v>212</v>
      </c>
      <c r="BB211">
        <v>1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1233.3999999999999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1</v>
      </c>
      <c r="BQ211">
        <v>1233.3999999999999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1</v>
      </c>
      <c r="CV211">
        <v>0</v>
      </c>
      <c r="CW211">
        <v>0</v>
      </c>
      <c r="CX211">
        <f>ROUND(Y211*Source!I164,7)</f>
        <v>7</v>
      </c>
      <c r="CY211">
        <f>AA211</f>
        <v>244.92</v>
      </c>
      <c r="CZ211">
        <f>AE211</f>
        <v>176.2</v>
      </c>
      <c r="DA211">
        <f>AI211</f>
        <v>1.39</v>
      </c>
      <c r="DB211">
        <f t="shared" si="73"/>
        <v>1233.4000000000001</v>
      </c>
      <c r="DC211">
        <f t="shared" si="74"/>
        <v>0</v>
      </c>
      <c r="DD211" t="s">
        <v>3</v>
      </c>
      <c r="DE211" t="s">
        <v>3</v>
      </c>
      <c r="DF211">
        <f>ROUND(ROUND(AE211*AI211,2)*CX211,2)</f>
        <v>1714.44</v>
      </c>
      <c r="DG211">
        <f>ROUND(ROUND(AF211,2)*CX211,2)</f>
        <v>0</v>
      </c>
      <c r="DH211">
        <f t="shared" si="71"/>
        <v>0</v>
      </c>
      <c r="DI211">
        <f t="shared" si="77"/>
        <v>0</v>
      </c>
      <c r="DJ211">
        <f>DF211</f>
        <v>1714.44</v>
      </c>
      <c r="DK211">
        <v>0</v>
      </c>
      <c r="DL211" t="s">
        <v>3</v>
      </c>
      <c r="DM211">
        <v>0</v>
      </c>
      <c r="DN211" t="s">
        <v>3</v>
      </c>
      <c r="DO211">
        <v>0</v>
      </c>
    </row>
    <row r="212" spans="1:119" x14ac:dyDescent="0.2">
      <c r="A212">
        <f>ROW(Source!A164)</f>
        <v>164</v>
      </c>
      <c r="B212">
        <v>65170852</v>
      </c>
      <c r="C212">
        <v>65171587</v>
      </c>
      <c r="D212">
        <v>56654621</v>
      </c>
      <c r="E212">
        <v>1</v>
      </c>
      <c r="F212">
        <v>1</v>
      </c>
      <c r="G212">
        <v>1</v>
      </c>
      <c r="H212">
        <v>3</v>
      </c>
      <c r="I212" t="s">
        <v>673</v>
      </c>
      <c r="J212" t="s">
        <v>674</v>
      </c>
      <c r="K212" t="s">
        <v>675</v>
      </c>
      <c r="L212">
        <v>1371</v>
      </c>
      <c r="N212">
        <v>1013</v>
      </c>
      <c r="O212" t="s">
        <v>220</v>
      </c>
      <c r="P212" t="s">
        <v>220</v>
      </c>
      <c r="Q212">
        <v>1</v>
      </c>
      <c r="W212">
        <v>0</v>
      </c>
      <c r="X212">
        <v>1629219610</v>
      </c>
      <c r="Y212">
        <f t="shared" si="72"/>
        <v>10</v>
      </c>
      <c r="AA212">
        <v>684.34</v>
      </c>
      <c r="AB212">
        <v>0</v>
      </c>
      <c r="AC212">
        <v>0</v>
      </c>
      <c r="AD212">
        <v>0</v>
      </c>
      <c r="AE212">
        <v>705.5</v>
      </c>
      <c r="AF212">
        <v>0</v>
      </c>
      <c r="AG212">
        <v>0</v>
      </c>
      <c r="AH212">
        <v>0</v>
      </c>
      <c r="AI212">
        <v>0.97</v>
      </c>
      <c r="AJ212">
        <v>1</v>
      </c>
      <c r="AK212">
        <v>1</v>
      </c>
      <c r="AL212">
        <v>1</v>
      </c>
      <c r="AM212">
        <v>2</v>
      </c>
      <c r="AN212">
        <v>0</v>
      </c>
      <c r="AO212">
        <v>0</v>
      </c>
      <c r="AP212">
        <v>1</v>
      </c>
      <c r="AQ212">
        <v>1</v>
      </c>
      <c r="AR212">
        <v>0</v>
      </c>
      <c r="AS212" t="s">
        <v>3</v>
      </c>
      <c r="AT212">
        <v>10</v>
      </c>
      <c r="AU212" t="s">
        <v>3</v>
      </c>
      <c r="AV212">
        <v>0</v>
      </c>
      <c r="AW212">
        <v>2</v>
      </c>
      <c r="AX212">
        <v>65171599</v>
      </c>
      <c r="AY212">
        <v>1</v>
      </c>
      <c r="AZ212">
        <v>0</v>
      </c>
      <c r="BA212">
        <v>213</v>
      </c>
      <c r="BB212">
        <v>1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7055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1</v>
      </c>
      <c r="BQ212">
        <v>7055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1</v>
      </c>
      <c r="CV212">
        <v>0</v>
      </c>
      <c r="CW212">
        <v>0</v>
      </c>
      <c r="CX212">
        <f>ROUND(Y212*Source!I164,7)</f>
        <v>10</v>
      </c>
      <c r="CY212">
        <f>AA212</f>
        <v>684.34</v>
      </c>
      <c r="CZ212">
        <f>AE212</f>
        <v>705.5</v>
      </c>
      <c r="DA212">
        <f>AI212</f>
        <v>0.97</v>
      </c>
      <c r="DB212">
        <f t="shared" si="73"/>
        <v>7055</v>
      </c>
      <c r="DC212">
        <f t="shared" si="74"/>
        <v>0</v>
      </c>
      <c r="DD212" t="s">
        <v>3</v>
      </c>
      <c r="DE212" t="s">
        <v>3</v>
      </c>
      <c r="DF212">
        <f>ROUND(ROUND(AE212*AI212,2)*CX212,2)</f>
        <v>6843.4</v>
      </c>
      <c r="DG212">
        <f>ROUND(ROUND(AF212,2)*CX212,2)</f>
        <v>0</v>
      </c>
      <c r="DH212">
        <f t="shared" si="71"/>
        <v>0</v>
      </c>
      <c r="DI212">
        <f t="shared" si="77"/>
        <v>0</v>
      </c>
      <c r="DJ212">
        <f>DF212</f>
        <v>6843.4</v>
      </c>
      <c r="DK212">
        <v>0</v>
      </c>
      <c r="DL212" t="s">
        <v>3</v>
      </c>
      <c r="DM212">
        <v>0</v>
      </c>
      <c r="DN212" t="s">
        <v>3</v>
      </c>
      <c r="DO212">
        <v>0</v>
      </c>
    </row>
    <row r="213" spans="1:119" x14ac:dyDescent="0.2">
      <c r="A213">
        <f>ROW(Source!A165)</f>
        <v>165</v>
      </c>
      <c r="B213">
        <v>65170852</v>
      </c>
      <c r="C213">
        <v>65171601</v>
      </c>
      <c r="D213">
        <v>37075528</v>
      </c>
      <c r="E213">
        <v>108</v>
      </c>
      <c r="F213">
        <v>1</v>
      </c>
      <c r="G213">
        <v>1</v>
      </c>
      <c r="H213">
        <v>1</v>
      </c>
      <c r="I213" t="s">
        <v>676</v>
      </c>
      <c r="J213" t="s">
        <v>3</v>
      </c>
      <c r="K213" t="s">
        <v>677</v>
      </c>
      <c r="L213">
        <v>1191</v>
      </c>
      <c r="N213">
        <v>1013</v>
      </c>
      <c r="O213" t="s">
        <v>509</v>
      </c>
      <c r="P213" t="s">
        <v>509</v>
      </c>
      <c r="Q213">
        <v>1</v>
      </c>
      <c r="W213">
        <v>0</v>
      </c>
      <c r="X213">
        <v>-1841613679</v>
      </c>
      <c r="Y213">
        <f t="shared" si="72"/>
        <v>7.42</v>
      </c>
      <c r="AA213">
        <v>0</v>
      </c>
      <c r="AB213">
        <v>0</v>
      </c>
      <c r="AC213">
        <v>0</v>
      </c>
      <c r="AD213">
        <v>512.51</v>
      </c>
      <c r="AE213">
        <v>0</v>
      </c>
      <c r="AF213">
        <v>0</v>
      </c>
      <c r="AG213">
        <v>0</v>
      </c>
      <c r="AH213">
        <v>512.51</v>
      </c>
      <c r="AI213">
        <v>1</v>
      </c>
      <c r="AJ213">
        <v>1</v>
      </c>
      <c r="AK213">
        <v>1</v>
      </c>
      <c r="AL213">
        <v>1</v>
      </c>
      <c r="AM213">
        <v>-2</v>
      </c>
      <c r="AN213">
        <v>0</v>
      </c>
      <c r="AO213">
        <v>0</v>
      </c>
      <c r="AP213">
        <v>1</v>
      </c>
      <c r="AQ213">
        <v>1</v>
      </c>
      <c r="AR213">
        <v>0</v>
      </c>
      <c r="AS213" t="s">
        <v>3</v>
      </c>
      <c r="AT213">
        <v>7.42</v>
      </c>
      <c r="AU213" t="s">
        <v>3</v>
      </c>
      <c r="AV213">
        <v>1</v>
      </c>
      <c r="AW213">
        <v>2</v>
      </c>
      <c r="AX213">
        <v>65171617</v>
      </c>
      <c r="AY213">
        <v>1</v>
      </c>
      <c r="AZ213">
        <v>0</v>
      </c>
      <c r="BA213">
        <v>215</v>
      </c>
      <c r="BB213">
        <v>1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3802.8242</v>
      </c>
      <c r="BN213">
        <v>7.42</v>
      </c>
      <c r="BO213">
        <v>0</v>
      </c>
      <c r="BP213">
        <v>1</v>
      </c>
      <c r="BQ213">
        <v>0</v>
      </c>
      <c r="BR213">
        <v>0</v>
      </c>
      <c r="BS213">
        <v>0</v>
      </c>
      <c r="BT213">
        <v>3802.8242</v>
      </c>
      <c r="BU213">
        <v>7.42</v>
      </c>
      <c r="BV213">
        <v>0</v>
      </c>
      <c r="BW213">
        <v>1</v>
      </c>
      <c r="CU213">
        <f>ROUND(AT213*Source!I165*AH213*AL213,2)</f>
        <v>3802.82</v>
      </c>
      <c r="CV213">
        <f>ROUND(Y213*Source!I165,7)</f>
        <v>7.42</v>
      </c>
      <c r="CW213">
        <v>0</v>
      </c>
      <c r="CX213">
        <f>ROUND(Y213*Source!I165,7)</f>
        <v>7.42</v>
      </c>
      <c r="CY213">
        <f>AD213</f>
        <v>512.51</v>
      </c>
      <c r="CZ213">
        <f>AH213</f>
        <v>512.51</v>
      </c>
      <c r="DA213">
        <f>AL213</f>
        <v>1</v>
      </c>
      <c r="DB213">
        <f t="shared" si="73"/>
        <v>3802.82</v>
      </c>
      <c r="DC213">
        <f t="shared" si="74"/>
        <v>0</v>
      </c>
      <c r="DD213" t="s">
        <v>3</v>
      </c>
      <c r="DE213" t="s">
        <v>3</v>
      </c>
      <c r="DF213">
        <f>ROUND(ROUND(AE213,2)*CX213,2)</f>
        <v>0</v>
      </c>
      <c r="DG213">
        <f>ROUND(ROUND(AF213,2)*CX213,2)</f>
        <v>0</v>
      </c>
      <c r="DH213">
        <f t="shared" si="71"/>
        <v>0</v>
      </c>
      <c r="DI213">
        <f t="shared" si="77"/>
        <v>3802.82</v>
      </c>
      <c r="DJ213">
        <f>DI213</f>
        <v>3802.82</v>
      </c>
      <c r="DK213">
        <v>1</v>
      </c>
      <c r="DL213" t="s">
        <v>3</v>
      </c>
      <c r="DM213">
        <v>0</v>
      </c>
      <c r="DN213" t="s">
        <v>3</v>
      </c>
      <c r="DO213">
        <v>0</v>
      </c>
    </row>
    <row r="214" spans="1:119" x14ac:dyDescent="0.2">
      <c r="A214">
        <f>ROW(Source!A165)</f>
        <v>165</v>
      </c>
      <c r="B214">
        <v>65170852</v>
      </c>
      <c r="C214">
        <v>65171601</v>
      </c>
      <c r="D214">
        <v>37064876</v>
      </c>
      <c r="E214">
        <v>108</v>
      </c>
      <c r="F214">
        <v>1</v>
      </c>
      <c r="G214">
        <v>1</v>
      </c>
      <c r="H214">
        <v>1</v>
      </c>
      <c r="I214" t="s">
        <v>510</v>
      </c>
      <c r="J214" t="s">
        <v>3</v>
      </c>
      <c r="K214" t="s">
        <v>511</v>
      </c>
      <c r="L214">
        <v>1191</v>
      </c>
      <c r="N214">
        <v>1013</v>
      </c>
      <c r="O214" t="s">
        <v>509</v>
      </c>
      <c r="P214" t="s">
        <v>509</v>
      </c>
      <c r="Q214">
        <v>1</v>
      </c>
      <c r="W214">
        <v>0</v>
      </c>
      <c r="X214">
        <v>-1417349443</v>
      </c>
      <c r="Y214">
        <f t="shared" si="72"/>
        <v>1.02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1</v>
      </c>
      <c r="AJ214">
        <v>1</v>
      </c>
      <c r="AK214">
        <v>1</v>
      </c>
      <c r="AL214">
        <v>1</v>
      </c>
      <c r="AM214">
        <v>-2</v>
      </c>
      <c r="AN214">
        <v>0</v>
      </c>
      <c r="AO214">
        <v>0</v>
      </c>
      <c r="AP214">
        <v>1</v>
      </c>
      <c r="AQ214">
        <v>1</v>
      </c>
      <c r="AR214">
        <v>0</v>
      </c>
      <c r="AS214" t="s">
        <v>3</v>
      </c>
      <c r="AT214">
        <v>1.02</v>
      </c>
      <c r="AU214" t="s">
        <v>3</v>
      </c>
      <c r="AV214">
        <v>2</v>
      </c>
      <c r="AW214">
        <v>2</v>
      </c>
      <c r="AX214">
        <v>65171618</v>
      </c>
      <c r="AY214">
        <v>1</v>
      </c>
      <c r="AZ214">
        <v>0</v>
      </c>
      <c r="BA214">
        <v>216</v>
      </c>
      <c r="BB214">
        <v>1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V214">
        <v>0</v>
      </c>
      <c r="CW214">
        <v>0</v>
      </c>
      <c r="CX214">
        <f>ROUND(Y214*Source!I165,7)</f>
        <v>1.02</v>
      </c>
      <c r="CY214">
        <f>AD214</f>
        <v>0</v>
      </c>
      <c r="CZ214">
        <f>AH214</f>
        <v>0</v>
      </c>
      <c r="DA214">
        <f>AL214</f>
        <v>1</v>
      </c>
      <c r="DB214">
        <f t="shared" si="73"/>
        <v>0</v>
      </c>
      <c r="DC214">
        <f t="shared" si="74"/>
        <v>0</v>
      </c>
      <c r="DD214" t="s">
        <v>3</v>
      </c>
      <c r="DE214" t="s">
        <v>3</v>
      </c>
      <c r="DF214">
        <f>ROUND(ROUND(AE214,2)*CX214,2)</f>
        <v>0</v>
      </c>
      <c r="DG214">
        <f>ROUND(ROUND(AF214,2)*CX214,2)</f>
        <v>0</v>
      </c>
      <c r="DH214">
        <f t="shared" si="71"/>
        <v>0</v>
      </c>
      <c r="DI214">
        <f t="shared" si="77"/>
        <v>0</v>
      </c>
      <c r="DJ214">
        <f>DI214</f>
        <v>0</v>
      </c>
      <c r="DK214">
        <v>0</v>
      </c>
      <c r="DL214" t="s">
        <v>3</v>
      </c>
      <c r="DM214">
        <v>0</v>
      </c>
      <c r="DN214" t="s">
        <v>3</v>
      </c>
      <c r="DO214">
        <v>0</v>
      </c>
    </row>
    <row r="215" spans="1:119" x14ac:dyDescent="0.2">
      <c r="A215">
        <f>ROW(Source!A165)</f>
        <v>165</v>
      </c>
      <c r="B215">
        <v>65170852</v>
      </c>
      <c r="C215">
        <v>65171601</v>
      </c>
      <c r="D215">
        <v>56571417</v>
      </c>
      <c r="E215">
        <v>1</v>
      </c>
      <c r="F215">
        <v>1</v>
      </c>
      <c r="G215">
        <v>1</v>
      </c>
      <c r="H215">
        <v>2</v>
      </c>
      <c r="I215" t="s">
        <v>512</v>
      </c>
      <c r="J215" t="s">
        <v>513</v>
      </c>
      <c r="K215" t="s">
        <v>514</v>
      </c>
      <c r="L215">
        <v>1368</v>
      </c>
      <c r="N215">
        <v>1011</v>
      </c>
      <c r="O215" t="s">
        <v>515</v>
      </c>
      <c r="P215" t="s">
        <v>515</v>
      </c>
      <c r="Q215">
        <v>1</v>
      </c>
      <c r="W215">
        <v>0</v>
      </c>
      <c r="X215">
        <v>-848025172</v>
      </c>
      <c r="Y215">
        <f t="shared" si="72"/>
        <v>0.61</v>
      </c>
      <c r="AA215">
        <v>0</v>
      </c>
      <c r="AB215">
        <v>1551.19</v>
      </c>
      <c r="AC215">
        <v>658.94</v>
      </c>
      <c r="AD215">
        <v>0</v>
      </c>
      <c r="AE215">
        <v>0</v>
      </c>
      <c r="AF215">
        <v>1551.19</v>
      </c>
      <c r="AG215">
        <v>658.94</v>
      </c>
      <c r="AH215">
        <v>0</v>
      </c>
      <c r="AI215">
        <v>1</v>
      </c>
      <c r="AJ215">
        <v>1</v>
      </c>
      <c r="AK215">
        <v>1</v>
      </c>
      <c r="AL215">
        <v>1</v>
      </c>
      <c r="AM215">
        <v>-2</v>
      </c>
      <c r="AN215">
        <v>0</v>
      </c>
      <c r="AO215">
        <v>0</v>
      </c>
      <c r="AP215">
        <v>1</v>
      </c>
      <c r="AQ215">
        <v>1</v>
      </c>
      <c r="AR215">
        <v>0</v>
      </c>
      <c r="AS215" t="s">
        <v>3</v>
      </c>
      <c r="AT215">
        <v>0.61</v>
      </c>
      <c r="AU215" t="s">
        <v>3</v>
      </c>
      <c r="AV215">
        <v>1</v>
      </c>
      <c r="AW215">
        <v>2</v>
      </c>
      <c r="AX215">
        <v>65171619</v>
      </c>
      <c r="AY215">
        <v>1</v>
      </c>
      <c r="AZ215">
        <v>0</v>
      </c>
      <c r="BA215">
        <v>217</v>
      </c>
      <c r="BB215">
        <v>1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946.22590000000002</v>
      </c>
      <c r="BL215">
        <v>401.95340000000004</v>
      </c>
      <c r="BM215">
        <v>0</v>
      </c>
      <c r="BN215">
        <v>0</v>
      </c>
      <c r="BO215">
        <v>0.61</v>
      </c>
      <c r="BP215">
        <v>1</v>
      </c>
      <c r="BQ215">
        <v>0</v>
      </c>
      <c r="BR215">
        <v>946.22590000000002</v>
      </c>
      <c r="BS215">
        <v>401.95340000000004</v>
      </c>
      <c r="BT215">
        <v>0</v>
      </c>
      <c r="BU215">
        <v>0</v>
      </c>
      <c r="BV215">
        <v>0.61</v>
      </c>
      <c r="BW215">
        <v>1</v>
      </c>
      <c r="CV215">
        <v>0</v>
      </c>
      <c r="CW215">
        <f>ROUND(Y215*Source!I165*DO215,7)</f>
        <v>0.61</v>
      </c>
      <c r="CX215">
        <f>ROUND(Y215*Source!I165,7)</f>
        <v>0.61</v>
      </c>
      <c r="CY215">
        <f>AB215</f>
        <v>1551.19</v>
      </c>
      <c r="CZ215">
        <f>AF215</f>
        <v>1551.19</v>
      </c>
      <c r="DA215">
        <f>AJ215</f>
        <v>1</v>
      </c>
      <c r="DB215">
        <f t="shared" si="73"/>
        <v>946.23</v>
      </c>
      <c r="DC215">
        <f t="shared" si="74"/>
        <v>401.95</v>
      </c>
      <c r="DD215" t="s">
        <v>3</v>
      </c>
      <c r="DE215" t="s">
        <v>3</v>
      </c>
      <c r="DF215">
        <f>ROUND(ROUND(AE215,2)*CX215,2)</f>
        <v>0</v>
      </c>
      <c r="DG215">
        <f>ROUND(ROUND(AF215,2)*CX215,2)</f>
        <v>946.23</v>
      </c>
      <c r="DH215">
        <f t="shared" si="71"/>
        <v>401.95</v>
      </c>
      <c r="DI215">
        <f t="shared" si="77"/>
        <v>0</v>
      </c>
      <c r="DJ215">
        <f>DG215+DH215</f>
        <v>1348.18</v>
      </c>
      <c r="DK215">
        <v>1</v>
      </c>
      <c r="DL215" t="s">
        <v>516</v>
      </c>
      <c r="DM215">
        <v>6</v>
      </c>
      <c r="DN215" t="s">
        <v>509</v>
      </c>
      <c r="DO215">
        <v>1</v>
      </c>
    </row>
    <row r="216" spans="1:119" x14ac:dyDescent="0.2">
      <c r="A216">
        <f>ROW(Source!A165)</f>
        <v>165</v>
      </c>
      <c r="B216">
        <v>65170852</v>
      </c>
      <c r="C216">
        <v>65171601</v>
      </c>
      <c r="D216">
        <v>56572833</v>
      </c>
      <c r="E216">
        <v>1</v>
      </c>
      <c r="F216">
        <v>1</v>
      </c>
      <c r="G216">
        <v>1</v>
      </c>
      <c r="H216">
        <v>2</v>
      </c>
      <c r="I216" t="s">
        <v>520</v>
      </c>
      <c r="J216" t="s">
        <v>521</v>
      </c>
      <c r="K216" t="s">
        <v>522</v>
      </c>
      <c r="L216">
        <v>1368</v>
      </c>
      <c r="N216">
        <v>1011</v>
      </c>
      <c r="O216" t="s">
        <v>515</v>
      </c>
      <c r="P216" t="s">
        <v>515</v>
      </c>
      <c r="Q216">
        <v>1</v>
      </c>
      <c r="W216">
        <v>0</v>
      </c>
      <c r="X216">
        <v>1230426758</v>
      </c>
      <c r="Y216">
        <f t="shared" si="72"/>
        <v>0.41</v>
      </c>
      <c r="AA216">
        <v>0</v>
      </c>
      <c r="AB216">
        <v>578.28</v>
      </c>
      <c r="AC216">
        <v>490.55</v>
      </c>
      <c r="AD216">
        <v>0</v>
      </c>
      <c r="AE216">
        <v>0</v>
      </c>
      <c r="AF216">
        <v>477.92</v>
      </c>
      <c r="AG216">
        <v>490.55</v>
      </c>
      <c r="AH216">
        <v>0</v>
      </c>
      <c r="AI216">
        <v>1</v>
      </c>
      <c r="AJ216">
        <v>1.21</v>
      </c>
      <c r="AK216">
        <v>1</v>
      </c>
      <c r="AL216">
        <v>1</v>
      </c>
      <c r="AM216">
        <v>2</v>
      </c>
      <c r="AN216">
        <v>0</v>
      </c>
      <c r="AO216">
        <v>0</v>
      </c>
      <c r="AP216">
        <v>1</v>
      </c>
      <c r="AQ216">
        <v>1</v>
      </c>
      <c r="AR216">
        <v>0</v>
      </c>
      <c r="AS216" t="s">
        <v>3</v>
      </c>
      <c r="AT216">
        <v>0.41</v>
      </c>
      <c r="AU216" t="s">
        <v>3</v>
      </c>
      <c r="AV216">
        <v>1</v>
      </c>
      <c r="AW216">
        <v>2</v>
      </c>
      <c r="AX216">
        <v>65171620</v>
      </c>
      <c r="AY216">
        <v>1</v>
      </c>
      <c r="AZ216">
        <v>0</v>
      </c>
      <c r="BA216">
        <v>218</v>
      </c>
      <c r="BB216">
        <v>1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195.94719999999998</v>
      </c>
      <c r="BL216">
        <v>201.12549999999999</v>
      </c>
      <c r="BM216">
        <v>0</v>
      </c>
      <c r="BN216">
        <v>0</v>
      </c>
      <c r="BO216">
        <v>0.41</v>
      </c>
      <c r="BP216">
        <v>1</v>
      </c>
      <c r="BQ216">
        <v>0</v>
      </c>
      <c r="BR216">
        <v>195.94719999999998</v>
      </c>
      <c r="BS216">
        <v>201.12549999999999</v>
      </c>
      <c r="BT216">
        <v>0</v>
      </c>
      <c r="BU216">
        <v>0</v>
      </c>
      <c r="BV216">
        <v>0.41</v>
      </c>
      <c r="BW216">
        <v>1</v>
      </c>
      <c r="CV216">
        <v>0</v>
      </c>
      <c r="CW216">
        <f>ROUND(Y216*Source!I165*DO216,7)</f>
        <v>0.41</v>
      </c>
      <c r="CX216">
        <f>ROUND(Y216*Source!I165,7)</f>
        <v>0.41</v>
      </c>
      <c r="CY216">
        <f>AB216</f>
        <v>578.28</v>
      </c>
      <c r="CZ216">
        <f>AF216</f>
        <v>477.92</v>
      </c>
      <c r="DA216">
        <f>AJ216</f>
        <v>1.21</v>
      </c>
      <c r="DB216">
        <f t="shared" si="73"/>
        <v>195.95</v>
      </c>
      <c r="DC216">
        <f t="shared" si="74"/>
        <v>201.13</v>
      </c>
      <c r="DD216" t="s">
        <v>3</v>
      </c>
      <c r="DE216" t="s">
        <v>3</v>
      </c>
      <c r="DF216">
        <f>ROUND(ROUND(AE216,2)*CX216,2)</f>
        <v>0</v>
      </c>
      <c r="DG216">
        <f>ROUND(ROUND(AF216*AJ216,2)*CX216,2)</f>
        <v>237.09</v>
      </c>
      <c r="DH216">
        <f t="shared" si="71"/>
        <v>201.13</v>
      </c>
      <c r="DI216">
        <f t="shared" si="77"/>
        <v>0</v>
      </c>
      <c r="DJ216">
        <f>DG216+DH216</f>
        <v>438.22</v>
      </c>
      <c r="DK216">
        <v>0</v>
      </c>
      <c r="DL216" t="s">
        <v>523</v>
      </c>
      <c r="DM216">
        <v>4</v>
      </c>
      <c r="DN216" t="s">
        <v>509</v>
      </c>
      <c r="DO216">
        <v>1</v>
      </c>
    </row>
    <row r="217" spans="1:119" x14ac:dyDescent="0.2">
      <c r="A217">
        <f>ROW(Source!A165)</f>
        <v>165</v>
      </c>
      <c r="B217">
        <v>65170852</v>
      </c>
      <c r="C217">
        <v>65171601</v>
      </c>
      <c r="D217">
        <v>56574842</v>
      </c>
      <c r="E217">
        <v>1</v>
      </c>
      <c r="F217">
        <v>1</v>
      </c>
      <c r="G217">
        <v>1</v>
      </c>
      <c r="H217">
        <v>3</v>
      </c>
      <c r="I217" t="s">
        <v>678</v>
      </c>
      <c r="J217" t="s">
        <v>679</v>
      </c>
      <c r="K217" t="s">
        <v>680</v>
      </c>
      <c r="L217">
        <v>1346</v>
      </c>
      <c r="N217">
        <v>1009</v>
      </c>
      <c r="O217" t="s">
        <v>549</v>
      </c>
      <c r="P217" t="s">
        <v>549</v>
      </c>
      <c r="Q217">
        <v>1</v>
      </c>
      <c r="W217">
        <v>0</v>
      </c>
      <c r="X217">
        <v>-306422680</v>
      </c>
      <c r="Y217">
        <f t="shared" si="72"/>
        <v>0.01</v>
      </c>
      <c r="AA217">
        <v>421.77</v>
      </c>
      <c r="AB217">
        <v>0</v>
      </c>
      <c r="AC217">
        <v>0</v>
      </c>
      <c r="AD217">
        <v>0</v>
      </c>
      <c r="AE217">
        <v>238.29</v>
      </c>
      <c r="AF217">
        <v>0</v>
      </c>
      <c r="AG217">
        <v>0</v>
      </c>
      <c r="AH217">
        <v>0</v>
      </c>
      <c r="AI217">
        <v>1.77</v>
      </c>
      <c r="AJ217">
        <v>1</v>
      </c>
      <c r="AK217">
        <v>1</v>
      </c>
      <c r="AL217">
        <v>1</v>
      </c>
      <c r="AM217">
        <v>2</v>
      </c>
      <c r="AN217">
        <v>0</v>
      </c>
      <c r="AO217">
        <v>0</v>
      </c>
      <c r="AP217">
        <v>0</v>
      </c>
      <c r="AQ217">
        <v>1</v>
      </c>
      <c r="AR217">
        <v>0</v>
      </c>
      <c r="AS217" t="s">
        <v>3</v>
      </c>
      <c r="AT217">
        <v>0.01</v>
      </c>
      <c r="AU217" t="s">
        <v>3</v>
      </c>
      <c r="AV217">
        <v>0</v>
      </c>
      <c r="AW217">
        <v>2</v>
      </c>
      <c r="AX217">
        <v>65171621</v>
      </c>
      <c r="AY217">
        <v>1</v>
      </c>
      <c r="AZ217">
        <v>0</v>
      </c>
      <c r="BA217">
        <v>219</v>
      </c>
      <c r="BB217">
        <v>1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2.3828999999999998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1</v>
      </c>
      <c r="BQ217">
        <v>2.3828999999999998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1</v>
      </c>
      <c r="CV217">
        <v>0</v>
      </c>
      <c r="CW217">
        <v>0</v>
      </c>
      <c r="CX217">
        <f>ROUND(Y217*Source!I165,7)</f>
        <v>0.01</v>
      </c>
      <c r="CY217">
        <f t="shared" ref="CY217:CY227" si="78">AA217</f>
        <v>421.77</v>
      </c>
      <c r="CZ217">
        <f t="shared" ref="CZ217:CZ227" si="79">AE217</f>
        <v>238.29</v>
      </c>
      <c r="DA217">
        <f t="shared" ref="DA217:DA227" si="80">AI217</f>
        <v>1.77</v>
      </c>
      <c r="DB217">
        <f t="shared" si="73"/>
        <v>2.38</v>
      </c>
      <c r="DC217">
        <f t="shared" si="74"/>
        <v>0</v>
      </c>
      <c r="DD217" t="s">
        <v>3</v>
      </c>
      <c r="DE217" t="s">
        <v>3</v>
      </c>
      <c r="DF217">
        <f>ROUND(ROUND(AE217*AI217,2)*CX217,2)</f>
        <v>4.22</v>
      </c>
      <c r="DG217">
        <f t="shared" ref="DG217:DG230" si="81">ROUND(ROUND(AF217,2)*CX217,2)</f>
        <v>0</v>
      </c>
      <c r="DH217">
        <f t="shared" si="71"/>
        <v>0</v>
      </c>
      <c r="DI217">
        <f t="shared" si="77"/>
        <v>0</v>
      </c>
      <c r="DJ217">
        <f t="shared" ref="DJ217:DJ227" si="82">DF217</f>
        <v>4.22</v>
      </c>
      <c r="DK217">
        <v>0</v>
      </c>
      <c r="DL217" t="s">
        <v>3</v>
      </c>
      <c r="DM217">
        <v>0</v>
      </c>
      <c r="DN217" t="s">
        <v>3</v>
      </c>
      <c r="DO217">
        <v>0</v>
      </c>
    </row>
    <row r="218" spans="1:119" x14ac:dyDescent="0.2">
      <c r="A218">
        <f>ROW(Source!A165)</f>
        <v>165</v>
      </c>
      <c r="B218">
        <v>65170852</v>
      </c>
      <c r="C218">
        <v>65171601</v>
      </c>
      <c r="D218">
        <v>56574852</v>
      </c>
      <c r="E218">
        <v>1</v>
      </c>
      <c r="F218">
        <v>1</v>
      </c>
      <c r="G218">
        <v>1</v>
      </c>
      <c r="H218">
        <v>3</v>
      </c>
      <c r="I218" t="s">
        <v>681</v>
      </c>
      <c r="J218" t="s">
        <v>682</v>
      </c>
      <c r="K218" t="s">
        <v>683</v>
      </c>
      <c r="L218">
        <v>1346</v>
      </c>
      <c r="N218">
        <v>1009</v>
      </c>
      <c r="O218" t="s">
        <v>549</v>
      </c>
      <c r="P218" t="s">
        <v>549</v>
      </c>
      <c r="Q218">
        <v>1</v>
      </c>
      <c r="W218">
        <v>0</v>
      </c>
      <c r="X218">
        <v>-448438601</v>
      </c>
      <c r="Y218">
        <f t="shared" si="72"/>
        <v>0.03</v>
      </c>
      <c r="AA218">
        <v>141.63999999999999</v>
      </c>
      <c r="AB218">
        <v>0</v>
      </c>
      <c r="AC218">
        <v>0</v>
      </c>
      <c r="AD218">
        <v>0</v>
      </c>
      <c r="AE218">
        <v>80.02</v>
      </c>
      <c r="AF218">
        <v>0</v>
      </c>
      <c r="AG218">
        <v>0</v>
      </c>
      <c r="AH218">
        <v>0</v>
      </c>
      <c r="AI218">
        <v>1.77</v>
      </c>
      <c r="AJ218">
        <v>1</v>
      </c>
      <c r="AK218">
        <v>1</v>
      </c>
      <c r="AL218">
        <v>1</v>
      </c>
      <c r="AM218">
        <v>2</v>
      </c>
      <c r="AN218">
        <v>0</v>
      </c>
      <c r="AO218">
        <v>0</v>
      </c>
      <c r="AP218">
        <v>0</v>
      </c>
      <c r="AQ218">
        <v>1</v>
      </c>
      <c r="AR218">
        <v>0</v>
      </c>
      <c r="AS218" t="s">
        <v>3</v>
      </c>
      <c r="AT218">
        <v>0.03</v>
      </c>
      <c r="AU218" t="s">
        <v>3</v>
      </c>
      <c r="AV218">
        <v>0</v>
      </c>
      <c r="AW218">
        <v>2</v>
      </c>
      <c r="AX218">
        <v>65171622</v>
      </c>
      <c r="AY218">
        <v>1</v>
      </c>
      <c r="AZ218">
        <v>0</v>
      </c>
      <c r="BA218">
        <v>220</v>
      </c>
      <c r="BB218">
        <v>1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2.4005999999999998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1</v>
      </c>
      <c r="BQ218">
        <v>2.4005999999999998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1</v>
      </c>
      <c r="CV218">
        <v>0</v>
      </c>
      <c r="CW218">
        <v>0</v>
      </c>
      <c r="CX218">
        <f>ROUND(Y218*Source!I165,7)</f>
        <v>0.03</v>
      </c>
      <c r="CY218">
        <f t="shared" si="78"/>
        <v>141.63999999999999</v>
      </c>
      <c r="CZ218">
        <f t="shared" si="79"/>
        <v>80.02</v>
      </c>
      <c r="DA218">
        <f t="shared" si="80"/>
        <v>1.77</v>
      </c>
      <c r="DB218">
        <f t="shared" si="73"/>
        <v>2.4</v>
      </c>
      <c r="DC218">
        <f t="shared" si="74"/>
        <v>0</v>
      </c>
      <c r="DD218" t="s">
        <v>3</v>
      </c>
      <c r="DE218" t="s">
        <v>3</v>
      </c>
      <c r="DF218">
        <f>ROUND(ROUND(AE218*AI218,2)*CX218,2)</f>
        <v>4.25</v>
      </c>
      <c r="DG218">
        <f t="shared" si="81"/>
        <v>0</v>
      </c>
      <c r="DH218">
        <f t="shared" si="71"/>
        <v>0</v>
      </c>
      <c r="DI218">
        <f t="shared" si="77"/>
        <v>0</v>
      </c>
      <c r="DJ218">
        <f t="shared" si="82"/>
        <v>4.25</v>
      </c>
      <c r="DK218">
        <v>0</v>
      </c>
      <c r="DL218" t="s">
        <v>3</v>
      </c>
      <c r="DM218">
        <v>0</v>
      </c>
      <c r="DN218" t="s">
        <v>3</v>
      </c>
      <c r="DO218">
        <v>0</v>
      </c>
    </row>
    <row r="219" spans="1:119" x14ac:dyDescent="0.2">
      <c r="A219">
        <f>ROW(Source!A165)</f>
        <v>165</v>
      </c>
      <c r="B219">
        <v>65170852</v>
      </c>
      <c r="C219">
        <v>65171601</v>
      </c>
      <c r="D219">
        <v>56580368</v>
      </c>
      <c r="E219">
        <v>1</v>
      </c>
      <c r="F219">
        <v>1</v>
      </c>
      <c r="G219">
        <v>1</v>
      </c>
      <c r="H219">
        <v>3</v>
      </c>
      <c r="I219" t="s">
        <v>553</v>
      </c>
      <c r="J219" t="s">
        <v>554</v>
      </c>
      <c r="K219" t="s">
        <v>555</v>
      </c>
      <c r="L219">
        <v>1346</v>
      </c>
      <c r="N219">
        <v>1009</v>
      </c>
      <c r="O219" t="s">
        <v>549</v>
      </c>
      <c r="P219" t="s">
        <v>549</v>
      </c>
      <c r="Q219">
        <v>1</v>
      </c>
      <c r="W219">
        <v>0</v>
      </c>
      <c r="X219">
        <v>-385218612</v>
      </c>
      <c r="Y219">
        <f t="shared" si="72"/>
        <v>0</v>
      </c>
      <c r="AA219">
        <v>201.17</v>
      </c>
      <c r="AB219">
        <v>0</v>
      </c>
      <c r="AC219">
        <v>0</v>
      </c>
      <c r="AD219">
        <v>0</v>
      </c>
      <c r="AE219">
        <v>174.93</v>
      </c>
      <c r="AF219">
        <v>0</v>
      </c>
      <c r="AG219">
        <v>0</v>
      </c>
      <c r="AH219">
        <v>0</v>
      </c>
      <c r="AI219">
        <v>1.1499999999999999</v>
      </c>
      <c r="AJ219">
        <v>1</v>
      </c>
      <c r="AK219">
        <v>1</v>
      </c>
      <c r="AL219">
        <v>1</v>
      </c>
      <c r="AM219">
        <v>2</v>
      </c>
      <c r="AN219">
        <v>1</v>
      </c>
      <c r="AO219">
        <v>0</v>
      </c>
      <c r="AP219">
        <v>0</v>
      </c>
      <c r="AQ219">
        <v>1</v>
      </c>
      <c r="AR219">
        <v>0</v>
      </c>
      <c r="AS219" t="s">
        <v>3</v>
      </c>
      <c r="AT219">
        <v>0</v>
      </c>
      <c r="AU219" t="s">
        <v>3</v>
      </c>
      <c r="AV219">
        <v>0</v>
      </c>
      <c r="AW219">
        <v>2</v>
      </c>
      <c r="AX219">
        <v>65171623</v>
      </c>
      <c r="AY219">
        <v>1</v>
      </c>
      <c r="AZ219">
        <v>0</v>
      </c>
      <c r="BA219">
        <v>221</v>
      </c>
      <c r="BB219">
        <v>1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V219">
        <v>0</v>
      </c>
      <c r="CW219">
        <v>0</v>
      </c>
      <c r="CX219">
        <f>ROUND(Y219*Source!I165,7)</f>
        <v>0</v>
      </c>
      <c r="CY219">
        <f t="shared" si="78"/>
        <v>201.17</v>
      </c>
      <c r="CZ219">
        <f t="shared" si="79"/>
        <v>174.93</v>
      </c>
      <c r="DA219">
        <f t="shared" si="80"/>
        <v>1.1499999999999999</v>
      </c>
      <c r="DB219">
        <f t="shared" si="73"/>
        <v>0</v>
      </c>
      <c r="DC219">
        <f t="shared" si="74"/>
        <v>0</v>
      </c>
      <c r="DD219" t="s">
        <v>3</v>
      </c>
      <c r="DE219" t="s">
        <v>3</v>
      </c>
      <c r="DF219">
        <f>ROUND(ROUND(AE219*AI219,2)*CX219,2)</f>
        <v>0</v>
      </c>
      <c r="DG219">
        <f t="shared" si="81"/>
        <v>0</v>
      </c>
      <c r="DH219">
        <f t="shared" si="71"/>
        <v>0</v>
      </c>
      <c r="DI219">
        <f t="shared" si="77"/>
        <v>0</v>
      </c>
      <c r="DJ219">
        <f t="shared" si="82"/>
        <v>0</v>
      </c>
      <c r="DK219">
        <v>0</v>
      </c>
      <c r="DL219" t="s">
        <v>3</v>
      </c>
      <c r="DM219">
        <v>0</v>
      </c>
      <c r="DN219" t="s">
        <v>3</v>
      </c>
      <c r="DO219">
        <v>0</v>
      </c>
    </row>
    <row r="220" spans="1:119" x14ac:dyDescent="0.2">
      <c r="A220">
        <f>ROW(Source!A165)</f>
        <v>165</v>
      </c>
      <c r="B220">
        <v>65170852</v>
      </c>
      <c r="C220">
        <v>65171601</v>
      </c>
      <c r="D220">
        <v>56582407</v>
      </c>
      <c r="E220">
        <v>1</v>
      </c>
      <c r="F220">
        <v>1</v>
      </c>
      <c r="G220">
        <v>1</v>
      </c>
      <c r="H220">
        <v>3</v>
      </c>
      <c r="I220" t="s">
        <v>625</v>
      </c>
      <c r="J220" t="s">
        <v>626</v>
      </c>
      <c r="K220" t="s">
        <v>627</v>
      </c>
      <c r="L220">
        <v>1346</v>
      </c>
      <c r="N220">
        <v>1009</v>
      </c>
      <c r="O220" t="s">
        <v>549</v>
      </c>
      <c r="P220" t="s">
        <v>549</v>
      </c>
      <c r="Q220">
        <v>1</v>
      </c>
      <c r="W220">
        <v>0</v>
      </c>
      <c r="X220">
        <v>-529816839</v>
      </c>
      <c r="Y220">
        <f t="shared" si="72"/>
        <v>0.02</v>
      </c>
      <c r="AA220">
        <v>77.989999999999995</v>
      </c>
      <c r="AB220">
        <v>0</v>
      </c>
      <c r="AC220">
        <v>0</v>
      </c>
      <c r="AD220">
        <v>0</v>
      </c>
      <c r="AE220">
        <v>56.11</v>
      </c>
      <c r="AF220">
        <v>0</v>
      </c>
      <c r="AG220">
        <v>0</v>
      </c>
      <c r="AH220">
        <v>0</v>
      </c>
      <c r="AI220">
        <v>1.39</v>
      </c>
      <c r="AJ220">
        <v>1</v>
      </c>
      <c r="AK220">
        <v>1</v>
      </c>
      <c r="AL220">
        <v>1</v>
      </c>
      <c r="AM220">
        <v>2</v>
      </c>
      <c r="AN220">
        <v>0</v>
      </c>
      <c r="AO220">
        <v>0</v>
      </c>
      <c r="AP220">
        <v>0</v>
      </c>
      <c r="AQ220">
        <v>1</v>
      </c>
      <c r="AR220">
        <v>0</v>
      </c>
      <c r="AS220" t="s">
        <v>3</v>
      </c>
      <c r="AT220">
        <v>0.02</v>
      </c>
      <c r="AU220" t="s">
        <v>3</v>
      </c>
      <c r="AV220">
        <v>0</v>
      </c>
      <c r="AW220">
        <v>2</v>
      </c>
      <c r="AX220">
        <v>65171624</v>
      </c>
      <c r="AY220">
        <v>1</v>
      </c>
      <c r="AZ220">
        <v>0</v>
      </c>
      <c r="BA220">
        <v>222</v>
      </c>
      <c r="BB220">
        <v>1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1.1222000000000001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1</v>
      </c>
      <c r="BQ220">
        <v>1.1222000000000001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1</v>
      </c>
      <c r="CV220">
        <v>0</v>
      </c>
      <c r="CW220">
        <v>0</v>
      </c>
      <c r="CX220">
        <f>ROUND(Y220*Source!I165,7)</f>
        <v>0.02</v>
      </c>
      <c r="CY220">
        <f t="shared" si="78"/>
        <v>77.989999999999995</v>
      </c>
      <c r="CZ220">
        <f t="shared" si="79"/>
        <v>56.11</v>
      </c>
      <c r="DA220">
        <f t="shared" si="80"/>
        <v>1.39</v>
      </c>
      <c r="DB220">
        <f t="shared" si="73"/>
        <v>1.1200000000000001</v>
      </c>
      <c r="DC220">
        <f t="shared" si="74"/>
        <v>0</v>
      </c>
      <c r="DD220" t="s">
        <v>3</v>
      </c>
      <c r="DE220" t="s">
        <v>3</v>
      </c>
      <c r="DF220">
        <f>ROUND(ROUND(AE220*AI220,2)*CX220,2)</f>
        <v>1.56</v>
      </c>
      <c r="DG220">
        <f t="shared" si="81"/>
        <v>0</v>
      </c>
      <c r="DH220">
        <f t="shared" si="71"/>
        <v>0</v>
      </c>
      <c r="DI220">
        <f t="shared" si="77"/>
        <v>0</v>
      </c>
      <c r="DJ220">
        <f t="shared" si="82"/>
        <v>1.56</v>
      </c>
      <c r="DK220">
        <v>0</v>
      </c>
      <c r="DL220" t="s">
        <v>3</v>
      </c>
      <c r="DM220">
        <v>0</v>
      </c>
      <c r="DN220" t="s">
        <v>3</v>
      </c>
      <c r="DO220">
        <v>0</v>
      </c>
    </row>
    <row r="221" spans="1:119" x14ac:dyDescent="0.2">
      <c r="A221">
        <f>ROW(Source!A165)</f>
        <v>165</v>
      </c>
      <c r="B221">
        <v>65170852</v>
      </c>
      <c r="C221">
        <v>65171601</v>
      </c>
      <c r="D221">
        <v>56219777</v>
      </c>
      <c r="E221">
        <v>108</v>
      </c>
      <c r="F221">
        <v>1</v>
      </c>
      <c r="G221">
        <v>1</v>
      </c>
      <c r="H221">
        <v>3</v>
      </c>
      <c r="I221" t="s">
        <v>684</v>
      </c>
      <c r="J221" t="s">
        <v>3</v>
      </c>
      <c r="K221" t="s">
        <v>685</v>
      </c>
      <c r="L221">
        <v>1346</v>
      </c>
      <c r="N221">
        <v>1009</v>
      </c>
      <c r="O221" t="s">
        <v>549</v>
      </c>
      <c r="P221" t="s">
        <v>549</v>
      </c>
      <c r="Q221">
        <v>1</v>
      </c>
      <c r="W221">
        <v>0</v>
      </c>
      <c r="X221">
        <v>-1111733769</v>
      </c>
      <c r="Y221">
        <f t="shared" si="72"/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1</v>
      </c>
      <c r="AJ221">
        <v>1</v>
      </c>
      <c r="AK221">
        <v>1</v>
      </c>
      <c r="AL221">
        <v>1</v>
      </c>
      <c r="AM221">
        <v>-2</v>
      </c>
      <c r="AN221">
        <v>1</v>
      </c>
      <c r="AO221">
        <v>0</v>
      </c>
      <c r="AP221">
        <v>0</v>
      </c>
      <c r="AQ221">
        <v>1</v>
      </c>
      <c r="AR221">
        <v>0</v>
      </c>
      <c r="AS221" t="s">
        <v>3</v>
      </c>
      <c r="AT221">
        <v>0</v>
      </c>
      <c r="AU221" t="s">
        <v>3</v>
      </c>
      <c r="AV221">
        <v>0</v>
      </c>
      <c r="AW221">
        <v>2</v>
      </c>
      <c r="AX221">
        <v>65171625</v>
      </c>
      <c r="AY221">
        <v>1</v>
      </c>
      <c r="AZ221">
        <v>0</v>
      </c>
      <c r="BA221">
        <v>223</v>
      </c>
      <c r="BB221">
        <v>1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V221">
        <v>0</v>
      </c>
      <c r="CW221">
        <v>0</v>
      </c>
      <c r="CX221">
        <f>ROUND(Y221*Source!I165,7)</f>
        <v>0</v>
      </c>
      <c r="CY221">
        <f t="shared" si="78"/>
        <v>0</v>
      </c>
      <c r="CZ221">
        <f t="shared" si="79"/>
        <v>0</v>
      </c>
      <c r="DA221">
        <f t="shared" si="80"/>
        <v>1</v>
      </c>
      <c r="DB221">
        <f t="shared" si="73"/>
        <v>0</v>
      </c>
      <c r="DC221">
        <f t="shared" si="74"/>
        <v>0</v>
      </c>
      <c r="DD221" t="s">
        <v>3</v>
      </c>
      <c r="DE221" t="s">
        <v>3</v>
      </c>
      <c r="DF221">
        <f>ROUND(ROUND(AE221,2)*CX221,2)</f>
        <v>0</v>
      </c>
      <c r="DG221">
        <f t="shared" si="81"/>
        <v>0</v>
      </c>
      <c r="DH221">
        <f t="shared" si="71"/>
        <v>0</v>
      </c>
      <c r="DI221">
        <f t="shared" si="77"/>
        <v>0</v>
      </c>
      <c r="DJ221">
        <f t="shared" si="82"/>
        <v>0</v>
      </c>
      <c r="DK221">
        <v>0</v>
      </c>
      <c r="DL221" t="s">
        <v>3</v>
      </c>
      <c r="DM221">
        <v>0</v>
      </c>
      <c r="DN221" t="s">
        <v>3</v>
      </c>
      <c r="DO221">
        <v>0</v>
      </c>
    </row>
    <row r="222" spans="1:119" x14ac:dyDescent="0.2">
      <c r="A222">
        <f>ROW(Source!A165)</f>
        <v>165</v>
      </c>
      <c r="B222">
        <v>65170852</v>
      </c>
      <c r="C222">
        <v>65171601</v>
      </c>
      <c r="D222">
        <v>56220120</v>
      </c>
      <c r="E222">
        <v>108</v>
      </c>
      <c r="F222">
        <v>1</v>
      </c>
      <c r="G222">
        <v>1</v>
      </c>
      <c r="H222">
        <v>3</v>
      </c>
      <c r="I222" t="s">
        <v>686</v>
      </c>
      <c r="J222" t="s">
        <v>3</v>
      </c>
      <c r="K222" t="s">
        <v>687</v>
      </c>
      <c r="L222">
        <v>1348</v>
      </c>
      <c r="N222">
        <v>1009</v>
      </c>
      <c r="O222" t="s">
        <v>94</v>
      </c>
      <c r="P222" t="s">
        <v>94</v>
      </c>
      <c r="Q222">
        <v>1000</v>
      </c>
      <c r="W222">
        <v>0</v>
      </c>
      <c r="X222">
        <v>1613753229</v>
      </c>
      <c r="Y222">
        <f t="shared" si="72"/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1</v>
      </c>
      <c r="AJ222">
        <v>1</v>
      </c>
      <c r="AK222">
        <v>1</v>
      </c>
      <c r="AL222">
        <v>1</v>
      </c>
      <c r="AM222">
        <v>-2</v>
      </c>
      <c r="AN222">
        <v>1</v>
      </c>
      <c r="AO222">
        <v>0</v>
      </c>
      <c r="AP222">
        <v>0</v>
      </c>
      <c r="AQ222">
        <v>1</v>
      </c>
      <c r="AR222">
        <v>0</v>
      </c>
      <c r="AS222" t="s">
        <v>3</v>
      </c>
      <c r="AT222">
        <v>0</v>
      </c>
      <c r="AU222" t="s">
        <v>3</v>
      </c>
      <c r="AV222">
        <v>0</v>
      </c>
      <c r="AW222">
        <v>2</v>
      </c>
      <c r="AX222">
        <v>65171626</v>
      </c>
      <c r="AY222">
        <v>1</v>
      </c>
      <c r="AZ222">
        <v>0</v>
      </c>
      <c r="BA222">
        <v>224</v>
      </c>
      <c r="BB222">
        <v>1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V222">
        <v>0</v>
      </c>
      <c r="CW222">
        <v>0</v>
      </c>
      <c r="CX222">
        <f>ROUND(Y222*Source!I165,7)</f>
        <v>0</v>
      </c>
      <c r="CY222">
        <f t="shared" si="78"/>
        <v>0</v>
      </c>
      <c r="CZ222">
        <f t="shared" si="79"/>
        <v>0</v>
      </c>
      <c r="DA222">
        <f t="shared" si="80"/>
        <v>1</v>
      </c>
      <c r="DB222">
        <f t="shared" si="73"/>
        <v>0</v>
      </c>
      <c r="DC222">
        <f t="shared" si="74"/>
        <v>0</v>
      </c>
      <c r="DD222" t="s">
        <v>3</v>
      </c>
      <c r="DE222" t="s">
        <v>3</v>
      </c>
      <c r="DF222">
        <f>ROUND(ROUND(AE222,2)*CX222,2)</f>
        <v>0</v>
      </c>
      <c r="DG222">
        <f t="shared" si="81"/>
        <v>0</v>
      </c>
      <c r="DH222">
        <f t="shared" si="71"/>
        <v>0</v>
      </c>
      <c r="DI222">
        <f t="shared" si="77"/>
        <v>0</v>
      </c>
      <c r="DJ222">
        <f t="shared" si="82"/>
        <v>0</v>
      </c>
      <c r="DK222">
        <v>0</v>
      </c>
      <c r="DL222" t="s">
        <v>3</v>
      </c>
      <c r="DM222">
        <v>0</v>
      </c>
      <c r="DN222" t="s">
        <v>3</v>
      </c>
      <c r="DO222">
        <v>0</v>
      </c>
    </row>
    <row r="223" spans="1:119" x14ac:dyDescent="0.2">
      <c r="A223">
        <f>ROW(Source!A165)</f>
        <v>165</v>
      </c>
      <c r="B223">
        <v>65170852</v>
      </c>
      <c r="C223">
        <v>65171601</v>
      </c>
      <c r="D223">
        <v>56610133</v>
      </c>
      <c r="E223">
        <v>1</v>
      </c>
      <c r="F223">
        <v>1</v>
      </c>
      <c r="G223">
        <v>1</v>
      </c>
      <c r="H223">
        <v>3</v>
      </c>
      <c r="I223" t="s">
        <v>688</v>
      </c>
      <c r="J223" t="s">
        <v>689</v>
      </c>
      <c r="K223" t="s">
        <v>690</v>
      </c>
      <c r="L223">
        <v>1348</v>
      </c>
      <c r="N223">
        <v>1009</v>
      </c>
      <c r="O223" t="s">
        <v>94</v>
      </c>
      <c r="P223" t="s">
        <v>94</v>
      </c>
      <c r="Q223">
        <v>1000</v>
      </c>
      <c r="W223">
        <v>0</v>
      </c>
      <c r="X223">
        <v>-548549702</v>
      </c>
      <c r="Y223">
        <f t="shared" si="72"/>
        <v>1E-4</v>
      </c>
      <c r="AA223">
        <v>97625.600000000006</v>
      </c>
      <c r="AB223">
        <v>0</v>
      </c>
      <c r="AC223">
        <v>0</v>
      </c>
      <c r="AD223">
        <v>0</v>
      </c>
      <c r="AE223">
        <v>80020.98</v>
      </c>
      <c r="AF223">
        <v>0</v>
      </c>
      <c r="AG223">
        <v>0</v>
      </c>
      <c r="AH223">
        <v>0</v>
      </c>
      <c r="AI223">
        <v>1.22</v>
      </c>
      <c r="AJ223">
        <v>1</v>
      </c>
      <c r="AK223">
        <v>1</v>
      </c>
      <c r="AL223">
        <v>1</v>
      </c>
      <c r="AM223">
        <v>2</v>
      </c>
      <c r="AN223">
        <v>0</v>
      </c>
      <c r="AO223">
        <v>0</v>
      </c>
      <c r="AP223">
        <v>0</v>
      </c>
      <c r="AQ223">
        <v>1</v>
      </c>
      <c r="AR223">
        <v>0</v>
      </c>
      <c r="AS223" t="s">
        <v>3</v>
      </c>
      <c r="AT223">
        <v>1E-4</v>
      </c>
      <c r="AU223" t="s">
        <v>3</v>
      </c>
      <c r="AV223">
        <v>0</v>
      </c>
      <c r="AW223">
        <v>2</v>
      </c>
      <c r="AX223">
        <v>65171627</v>
      </c>
      <c r="AY223">
        <v>1</v>
      </c>
      <c r="AZ223">
        <v>0</v>
      </c>
      <c r="BA223">
        <v>225</v>
      </c>
      <c r="BB223">
        <v>1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8.0020980000000002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1</v>
      </c>
      <c r="BQ223">
        <v>8.0020980000000002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1</v>
      </c>
      <c r="CV223">
        <v>0</v>
      </c>
      <c r="CW223">
        <v>0</v>
      </c>
      <c r="CX223">
        <f>ROUND(Y223*Source!I165,7)</f>
        <v>1E-4</v>
      </c>
      <c r="CY223">
        <f t="shared" si="78"/>
        <v>97625.600000000006</v>
      </c>
      <c r="CZ223">
        <f t="shared" si="79"/>
        <v>80020.98</v>
      </c>
      <c r="DA223">
        <f t="shared" si="80"/>
        <v>1.22</v>
      </c>
      <c r="DB223">
        <f t="shared" si="73"/>
        <v>8</v>
      </c>
      <c r="DC223">
        <f t="shared" si="74"/>
        <v>0</v>
      </c>
      <c r="DD223" t="s">
        <v>3</v>
      </c>
      <c r="DE223" t="s">
        <v>3</v>
      </c>
      <c r="DF223">
        <f>ROUND(ROUND(AE223*AI223,2)*CX223,2)</f>
        <v>9.76</v>
      </c>
      <c r="DG223">
        <f t="shared" si="81"/>
        <v>0</v>
      </c>
      <c r="DH223">
        <f t="shared" si="71"/>
        <v>0</v>
      </c>
      <c r="DI223">
        <f t="shared" si="77"/>
        <v>0</v>
      </c>
      <c r="DJ223">
        <f t="shared" si="82"/>
        <v>9.76</v>
      </c>
      <c r="DK223">
        <v>0</v>
      </c>
      <c r="DL223" t="s">
        <v>3</v>
      </c>
      <c r="DM223">
        <v>0</v>
      </c>
      <c r="DN223" t="s">
        <v>3</v>
      </c>
      <c r="DO223">
        <v>0</v>
      </c>
    </row>
    <row r="224" spans="1:119" x14ac:dyDescent="0.2">
      <c r="A224">
        <f>ROW(Source!A165)</f>
        <v>165</v>
      </c>
      <c r="B224">
        <v>65170852</v>
      </c>
      <c r="C224">
        <v>65171601</v>
      </c>
      <c r="D224">
        <v>56610726</v>
      </c>
      <c r="E224">
        <v>1</v>
      </c>
      <c r="F224">
        <v>1</v>
      </c>
      <c r="G224">
        <v>1</v>
      </c>
      <c r="H224">
        <v>3</v>
      </c>
      <c r="I224" t="s">
        <v>628</v>
      </c>
      <c r="J224" t="s">
        <v>629</v>
      </c>
      <c r="K224" t="s">
        <v>630</v>
      </c>
      <c r="L224">
        <v>1346</v>
      </c>
      <c r="N224">
        <v>1009</v>
      </c>
      <c r="O224" t="s">
        <v>549</v>
      </c>
      <c r="P224" t="s">
        <v>549</v>
      </c>
      <c r="Q224">
        <v>1</v>
      </c>
      <c r="W224">
        <v>0</v>
      </c>
      <c r="X224">
        <v>-710112584</v>
      </c>
      <c r="Y224">
        <f t="shared" si="72"/>
        <v>0.12</v>
      </c>
      <c r="AA224">
        <v>76.959999999999994</v>
      </c>
      <c r="AB224">
        <v>0</v>
      </c>
      <c r="AC224">
        <v>0</v>
      </c>
      <c r="AD224">
        <v>0</v>
      </c>
      <c r="AE224">
        <v>60.6</v>
      </c>
      <c r="AF224">
        <v>0</v>
      </c>
      <c r="AG224">
        <v>0</v>
      </c>
      <c r="AH224">
        <v>0</v>
      </c>
      <c r="AI224">
        <v>1.27</v>
      </c>
      <c r="AJ224">
        <v>1</v>
      </c>
      <c r="AK224">
        <v>1</v>
      </c>
      <c r="AL224">
        <v>1</v>
      </c>
      <c r="AM224">
        <v>2</v>
      </c>
      <c r="AN224">
        <v>0</v>
      </c>
      <c r="AO224">
        <v>0</v>
      </c>
      <c r="AP224">
        <v>0</v>
      </c>
      <c r="AQ224">
        <v>1</v>
      </c>
      <c r="AR224">
        <v>0</v>
      </c>
      <c r="AS224" t="s">
        <v>3</v>
      </c>
      <c r="AT224">
        <v>0.12</v>
      </c>
      <c r="AU224" t="s">
        <v>3</v>
      </c>
      <c r="AV224">
        <v>0</v>
      </c>
      <c r="AW224">
        <v>2</v>
      </c>
      <c r="AX224">
        <v>65171628</v>
      </c>
      <c r="AY224">
        <v>1</v>
      </c>
      <c r="AZ224">
        <v>0</v>
      </c>
      <c r="BA224">
        <v>226</v>
      </c>
      <c r="BB224">
        <v>1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7.2720000000000002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1</v>
      </c>
      <c r="BQ224">
        <v>7.2720000000000002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1</v>
      </c>
      <c r="CV224">
        <v>0</v>
      </c>
      <c r="CW224">
        <v>0</v>
      </c>
      <c r="CX224">
        <f>ROUND(Y224*Source!I165,7)</f>
        <v>0.12</v>
      </c>
      <c r="CY224">
        <f t="shared" si="78"/>
        <v>76.959999999999994</v>
      </c>
      <c r="CZ224">
        <f t="shared" si="79"/>
        <v>60.6</v>
      </c>
      <c r="DA224">
        <f t="shared" si="80"/>
        <v>1.27</v>
      </c>
      <c r="DB224">
        <f t="shared" si="73"/>
        <v>7.27</v>
      </c>
      <c r="DC224">
        <f t="shared" si="74"/>
        <v>0</v>
      </c>
      <c r="DD224" t="s">
        <v>3</v>
      </c>
      <c r="DE224" t="s">
        <v>3</v>
      </c>
      <c r="DF224">
        <f>ROUND(ROUND(AE224*AI224,2)*CX224,2)</f>
        <v>9.24</v>
      </c>
      <c r="DG224">
        <f t="shared" si="81"/>
        <v>0</v>
      </c>
      <c r="DH224">
        <f t="shared" si="71"/>
        <v>0</v>
      </c>
      <c r="DI224">
        <f t="shared" si="77"/>
        <v>0</v>
      </c>
      <c r="DJ224">
        <f t="shared" si="82"/>
        <v>9.24</v>
      </c>
      <c r="DK224">
        <v>0</v>
      </c>
      <c r="DL224" t="s">
        <v>3</v>
      </c>
      <c r="DM224">
        <v>0</v>
      </c>
      <c r="DN224" t="s">
        <v>3</v>
      </c>
      <c r="DO224">
        <v>0</v>
      </c>
    </row>
    <row r="225" spans="1:119" x14ac:dyDescent="0.2">
      <c r="A225">
        <f>ROW(Source!A165)</f>
        <v>165</v>
      </c>
      <c r="B225">
        <v>65170852</v>
      </c>
      <c r="C225">
        <v>65171601</v>
      </c>
      <c r="D225">
        <v>56222425</v>
      </c>
      <c r="E225">
        <v>108</v>
      </c>
      <c r="F225">
        <v>1</v>
      </c>
      <c r="G225">
        <v>1</v>
      </c>
      <c r="H225">
        <v>3</v>
      </c>
      <c r="I225" t="s">
        <v>691</v>
      </c>
      <c r="J225" t="s">
        <v>3</v>
      </c>
      <c r="K225" t="s">
        <v>692</v>
      </c>
      <c r="L225">
        <v>1348</v>
      </c>
      <c r="N225">
        <v>1009</v>
      </c>
      <c r="O225" t="s">
        <v>94</v>
      </c>
      <c r="P225" t="s">
        <v>94</v>
      </c>
      <c r="Q225">
        <v>1000</v>
      </c>
      <c r="W225">
        <v>0</v>
      </c>
      <c r="X225">
        <v>-2074906300</v>
      </c>
      <c r="Y225">
        <f t="shared" si="72"/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1</v>
      </c>
      <c r="AJ225">
        <v>1</v>
      </c>
      <c r="AK225">
        <v>1</v>
      </c>
      <c r="AL225">
        <v>1</v>
      </c>
      <c r="AM225">
        <v>-2</v>
      </c>
      <c r="AN225">
        <v>1</v>
      </c>
      <c r="AO225">
        <v>0</v>
      </c>
      <c r="AP225">
        <v>0</v>
      </c>
      <c r="AQ225">
        <v>1</v>
      </c>
      <c r="AR225">
        <v>0</v>
      </c>
      <c r="AS225" t="s">
        <v>3</v>
      </c>
      <c r="AT225">
        <v>0</v>
      </c>
      <c r="AU225" t="s">
        <v>3</v>
      </c>
      <c r="AV225">
        <v>0</v>
      </c>
      <c r="AW225">
        <v>2</v>
      </c>
      <c r="AX225">
        <v>65171629</v>
      </c>
      <c r="AY225">
        <v>1</v>
      </c>
      <c r="AZ225">
        <v>0</v>
      </c>
      <c r="BA225">
        <v>227</v>
      </c>
      <c r="BB225">
        <v>1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V225">
        <v>0</v>
      </c>
      <c r="CW225">
        <v>0</v>
      </c>
      <c r="CX225">
        <f>ROUND(Y225*Source!I165,7)</f>
        <v>0</v>
      </c>
      <c r="CY225">
        <f t="shared" si="78"/>
        <v>0</v>
      </c>
      <c r="CZ225">
        <f t="shared" si="79"/>
        <v>0</v>
      </c>
      <c r="DA225">
        <f t="shared" si="80"/>
        <v>1</v>
      </c>
      <c r="DB225">
        <f t="shared" si="73"/>
        <v>0</v>
      </c>
      <c r="DC225">
        <f t="shared" si="74"/>
        <v>0</v>
      </c>
      <c r="DD225" t="s">
        <v>3</v>
      </c>
      <c r="DE225" t="s">
        <v>3</v>
      </c>
      <c r="DF225">
        <f t="shared" ref="DF225:DF232" si="83">ROUND(ROUND(AE225,2)*CX225,2)</f>
        <v>0</v>
      </c>
      <c r="DG225">
        <f t="shared" si="81"/>
        <v>0</v>
      </c>
      <c r="DH225">
        <f t="shared" si="71"/>
        <v>0</v>
      </c>
      <c r="DI225">
        <f t="shared" si="77"/>
        <v>0</v>
      </c>
      <c r="DJ225">
        <f t="shared" si="82"/>
        <v>0</v>
      </c>
      <c r="DK225">
        <v>0</v>
      </c>
      <c r="DL225" t="s">
        <v>3</v>
      </c>
      <c r="DM225">
        <v>0</v>
      </c>
      <c r="DN225" t="s">
        <v>3</v>
      </c>
      <c r="DO225">
        <v>0</v>
      </c>
    </row>
    <row r="226" spans="1:119" x14ac:dyDescent="0.2">
      <c r="A226">
        <f>ROW(Source!A165)</f>
        <v>165</v>
      </c>
      <c r="B226">
        <v>65170852</v>
      </c>
      <c r="C226">
        <v>65171601</v>
      </c>
      <c r="D226">
        <v>56222457</v>
      </c>
      <c r="E226">
        <v>108</v>
      </c>
      <c r="F226">
        <v>1</v>
      </c>
      <c r="G226">
        <v>1</v>
      </c>
      <c r="H226">
        <v>3</v>
      </c>
      <c r="I226" t="s">
        <v>693</v>
      </c>
      <c r="J226" t="s">
        <v>3</v>
      </c>
      <c r="K226" t="s">
        <v>694</v>
      </c>
      <c r="L226">
        <v>1371</v>
      </c>
      <c r="N226">
        <v>1013</v>
      </c>
      <c r="O226" t="s">
        <v>220</v>
      </c>
      <c r="P226" t="s">
        <v>220</v>
      </c>
      <c r="Q226">
        <v>1</v>
      </c>
      <c r="W226">
        <v>0</v>
      </c>
      <c r="X226">
        <v>1740798612</v>
      </c>
      <c r="Y226">
        <f t="shared" si="72"/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1</v>
      </c>
      <c r="AJ226">
        <v>1</v>
      </c>
      <c r="AK226">
        <v>1</v>
      </c>
      <c r="AL226">
        <v>1</v>
      </c>
      <c r="AM226">
        <v>-2</v>
      </c>
      <c r="AN226">
        <v>1</v>
      </c>
      <c r="AO226">
        <v>0</v>
      </c>
      <c r="AP226">
        <v>0</v>
      </c>
      <c r="AQ226">
        <v>1</v>
      </c>
      <c r="AR226">
        <v>0</v>
      </c>
      <c r="AS226" t="s">
        <v>3</v>
      </c>
      <c r="AT226">
        <v>0</v>
      </c>
      <c r="AU226" t="s">
        <v>3</v>
      </c>
      <c r="AV226">
        <v>0</v>
      </c>
      <c r="AW226">
        <v>2</v>
      </c>
      <c r="AX226">
        <v>65171630</v>
      </c>
      <c r="AY226">
        <v>1</v>
      </c>
      <c r="AZ226">
        <v>0</v>
      </c>
      <c r="BA226">
        <v>228</v>
      </c>
      <c r="BB226">
        <v>1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V226">
        <v>0</v>
      </c>
      <c r="CW226">
        <v>0</v>
      </c>
      <c r="CX226">
        <f>ROUND(Y226*Source!I165,7)</f>
        <v>0</v>
      </c>
      <c r="CY226">
        <f t="shared" si="78"/>
        <v>0</v>
      </c>
      <c r="CZ226">
        <f t="shared" si="79"/>
        <v>0</v>
      </c>
      <c r="DA226">
        <f t="shared" si="80"/>
        <v>1</v>
      </c>
      <c r="DB226">
        <f t="shared" si="73"/>
        <v>0</v>
      </c>
      <c r="DC226">
        <f t="shared" si="74"/>
        <v>0</v>
      </c>
      <c r="DD226" t="s">
        <v>3</v>
      </c>
      <c r="DE226" t="s">
        <v>3</v>
      </c>
      <c r="DF226">
        <f t="shared" si="83"/>
        <v>0</v>
      </c>
      <c r="DG226">
        <f t="shared" si="81"/>
        <v>0</v>
      </c>
      <c r="DH226">
        <f t="shared" si="71"/>
        <v>0</v>
      </c>
      <c r="DI226">
        <f t="shared" si="77"/>
        <v>0</v>
      </c>
      <c r="DJ226">
        <f t="shared" si="82"/>
        <v>0</v>
      </c>
      <c r="DK226">
        <v>0</v>
      </c>
      <c r="DL226" t="s">
        <v>3</v>
      </c>
      <c r="DM226">
        <v>0</v>
      </c>
      <c r="DN226" t="s">
        <v>3</v>
      </c>
      <c r="DO226">
        <v>0</v>
      </c>
    </row>
    <row r="227" spans="1:119" x14ac:dyDescent="0.2">
      <c r="A227">
        <f>ROW(Source!A165)</f>
        <v>165</v>
      </c>
      <c r="B227">
        <v>65170852</v>
      </c>
      <c r="C227">
        <v>65171601</v>
      </c>
      <c r="D227">
        <v>56222466</v>
      </c>
      <c r="E227">
        <v>108</v>
      </c>
      <c r="F227">
        <v>1</v>
      </c>
      <c r="G227">
        <v>1</v>
      </c>
      <c r="H227">
        <v>3</v>
      </c>
      <c r="I227" t="s">
        <v>695</v>
      </c>
      <c r="J227" t="s">
        <v>3</v>
      </c>
      <c r="K227" t="s">
        <v>696</v>
      </c>
      <c r="L227">
        <v>1346</v>
      </c>
      <c r="N227">
        <v>1009</v>
      </c>
      <c r="O227" t="s">
        <v>549</v>
      </c>
      <c r="P227" t="s">
        <v>549</v>
      </c>
      <c r="Q227">
        <v>1</v>
      </c>
      <c r="W227">
        <v>0</v>
      </c>
      <c r="X227">
        <v>1533393836</v>
      </c>
      <c r="Y227">
        <f t="shared" si="72"/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1</v>
      </c>
      <c r="AJ227">
        <v>1</v>
      </c>
      <c r="AK227">
        <v>1</v>
      </c>
      <c r="AL227">
        <v>1</v>
      </c>
      <c r="AM227">
        <v>-2</v>
      </c>
      <c r="AN227">
        <v>1</v>
      </c>
      <c r="AO227">
        <v>0</v>
      </c>
      <c r="AP227">
        <v>0</v>
      </c>
      <c r="AQ227">
        <v>1</v>
      </c>
      <c r="AR227">
        <v>0</v>
      </c>
      <c r="AS227" t="s">
        <v>3</v>
      </c>
      <c r="AT227">
        <v>0</v>
      </c>
      <c r="AU227" t="s">
        <v>3</v>
      </c>
      <c r="AV227">
        <v>0</v>
      </c>
      <c r="AW227">
        <v>2</v>
      </c>
      <c r="AX227">
        <v>65171631</v>
      </c>
      <c r="AY227">
        <v>1</v>
      </c>
      <c r="AZ227">
        <v>0</v>
      </c>
      <c r="BA227">
        <v>229</v>
      </c>
      <c r="BB227">
        <v>1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V227">
        <v>0</v>
      </c>
      <c r="CW227">
        <v>0</v>
      </c>
      <c r="CX227">
        <f>ROUND(Y227*Source!I165,7)</f>
        <v>0</v>
      </c>
      <c r="CY227">
        <f t="shared" si="78"/>
        <v>0</v>
      </c>
      <c r="CZ227">
        <f t="shared" si="79"/>
        <v>0</v>
      </c>
      <c r="DA227">
        <f t="shared" si="80"/>
        <v>1</v>
      </c>
      <c r="DB227">
        <f t="shared" si="73"/>
        <v>0</v>
      </c>
      <c r="DC227">
        <f t="shared" si="74"/>
        <v>0</v>
      </c>
      <c r="DD227" t="s">
        <v>3</v>
      </c>
      <c r="DE227" t="s">
        <v>3</v>
      </c>
      <c r="DF227">
        <f t="shared" si="83"/>
        <v>0</v>
      </c>
      <c r="DG227">
        <f t="shared" si="81"/>
        <v>0</v>
      </c>
      <c r="DH227">
        <f t="shared" si="71"/>
        <v>0</v>
      </c>
      <c r="DI227">
        <f t="shared" si="77"/>
        <v>0</v>
      </c>
      <c r="DJ227">
        <f t="shared" si="82"/>
        <v>0</v>
      </c>
      <c r="DK227">
        <v>0</v>
      </c>
      <c r="DL227" t="s">
        <v>3</v>
      </c>
      <c r="DM227">
        <v>0</v>
      </c>
      <c r="DN227" t="s">
        <v>3</v>
      </c>
      <c r="DO227">
        <v>0</v>
      </c>
    </row>
    <row r="228" spans="1:119" x14ac:dyDescent="0.2">
      <c r="A228">
        <f>ROW(Source!A166)</f>
        <v>166</v>
      </c>
      <c r="B228">
        <v>65170852</v>
      </c>
      <c r="C228">
        <v>65171668</v>
      </c>
      <c r="D228">
        <v>37071037</v>
      </c>
      <c r="E228">
        <v>108</v>
      </c>
      <c r="F228">
        <v>1</v>
      </c>
      <c r="G228">
        <v>1</v>
      </c>
      <c r="H228">
        <v>1</v>
      </c>
      <c r="I228" t="s">
        <v>653</v>
      </c>
      <c r="J228" t="s">
        <v>3</v>
      </c>
      <c r="K228" t="s">
        <v>654</v>
      </c>
      <c r="L228">
        <v>1191</v>
      </c>
      <c r="N228">
        <v>1013</v>
      </c>
      <c r="O228" t="s">
        <v>509</v>
      </c>
      <c r="P228" t="s">
        <v>509</v>
      </c>
      <c r="Q228">
        <v>1</v>
      </c>
      <c r="W228">
        <v>0</v>
      </c>
      <c r="X228">
        <v>-1111239348</v>
      </c>
      <c r="Y228">
        <f t="shared" si="72"/>
        <v>41.2</v>
      </c>
      <c r="AA228">
        <v>0</v>
      </c>
      <c r="AB228">
        <v>0</v>
      </c>
      <c r="AC228">
        <v>0</v>
      </c>
      <c r="AD228">
        <v>490.55</v>
      </c>
      <c r="AE228">
        <v>0</v>
      </c>
      <c r="AF228">
        <v>0</v>
      </c>
      <c r="AG228">
        <v>0</v>
      </c>
      <c r="AH228">
        <v>490.55</v>
      </c>
      <c r="AI228">
        <v>1</v>
      </c>
      <c r="AJ228">
        <v>1</v>
      </c>
      <c r="AK228">
        <v>1</v>
      </c>
      <c r="AL228">
        <v>1</v>
      </c>
      <c r="AM228">
        <v>-2</v>
      </c>
      <c r="AN228">
        <v>0</v>
      </c>
      <c r="AO228">
        <v>0</v>
      </c>
      <c r="AP228">
        <v>1</v>
      </c>
      <c r="AQ228">
        <v>1</v>
      </c>
      <c r="AR228">
        <v>0</v>
      </c>
      <c r="AS228" t="s">
        <v>3</v>
      </c>
      <c r="AT228">
        <v>41.2</v>
      </c>
      <c r="AU228" t="s">
        <v>3</v>
      </c>
      <c r="AV228">
        <v>1</v>
      </c>
      <c r="AW228">
        <v>2</v>
      </c>
      <c r="AX228">
        <v>65171678</v>
      </c>
      <c r="AY228">
        <v>1</v>
      </c>
      <c r="AZ228">
        <v>0</v>
      </c>
      <c r="BA228">
        <v>230</v>
      </c>
      <c r="BB228">
        <v>1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20210.660000000003</v>
      </c>
      <c r="BN228">
        <v>41.2</v>
      </c>
      <c r="BO228">
        <v>0</v>
      </c>
      <c r="BP228">
        <v>1</v>
      </c>
      <c r="BQ228">
        <v>0</v>
      </c>
      <c r="BR228">
        <v>0</v>
      </c>
      <c r="BS228">
        <v>0</v>
      </c>
      <c r="BT228">
        <v>20210.660000000003</v>
      </c>
      <c r="BU228">
        <v>41.2</v>
      </c>
      <c r="BV228">
        <v>0</v>
      </c>
      <c r="BW228">
        <v>1</v>
      </c>
      <c r="CU228">
        <f>ROUND(AT228*Source!I166*AH228*AL228,2)</f>
        <v>1212.6400000000001</v>
      </c>
      <c r="CV228">
        <f>ROUND(Y228*Source!I166,7)</f>
        <v>2.472</v>
      </c>
      <c r="CW228">
        <v>0</v>
      </c>
      <c r="CX228">
        <f>ROUND(Y228*Source!I166,7)</f>
        <v>2.472</v>
      </c>
      <c r="CY228">
        <f>AD228</f>
        <v>490.55</v>
      </c>
      <c r="CZ228">
        <f>AH228</f>
        <v>490.55</v>
      </c>
      <c r="DA228">
        <f>AL228</f>
        <v>1</v>
      </c>
      <c r="DB228">
        <f t="shared" si="73"/>
        <v>20210.66</v>
      </c>
      <c r="DC228">
        <f t="shared" si="74"/>
        <v>0</v>
      </c>
      <c r="DD228" t="s">
        <v>3</v>
      </c>
      <c r="DE228" t="s">
        <v>3</v>
      </c>
      <c r="DF228">
        <f t="shared" si="83"/>
        <v>0</v>
      </c>
      <c r="DG228">
        <f t="shared" si="81"/>
        <v>0</v>
      </c>
      <c r="DH228">
        <f t="shared" si="71"/>
        <v>0</v>
      </c>
      <c r="DI228">
        <f t="shared" si="77"/>
        <v>1212.6400000000001</v>
      </c>
      <c r="DJ228">
        <f>DI228</f>
        <v>1212.6400000000001</v>
      </c>
      <c r="DK228">
        <v>1</v>
      </c>
      <c r="DL228" t="s">
        <v>3</v>
      </c>
      <c r="DM228">
        <v>0</v>
      </c>
      <c r="DN228" t="s">
        <v>3</v>
      </c>
      <c r="DO228">
        <v>0</v>
      </c>
    </row>
    <row r="229" spans="1:119" x14ac:dyDescent="0.2">
      <c r="A229">
        <f>ROW(Source!A166)</f>
        <v>166</v>
      </c>
      <c r="B229">
        <v>65170852</v>
      </c>
      <c r="C229">
        <v>65171668</v>
      </c>
      <c r="D229">
        <v>37064876</v>
      </c>
      <c r="E229">
        <v>108</v>
      </c>
      <c r="F229">
        <v>1</v>
      </c>
      <c r="G229">
        <v>1</v>
      </c>
      <c r="H229">
        <v>1</v>
      </c>
      <c r="I229" t="s">
        <v>510</v>
      </c>
      <c r="J229" t="s">
        <v>3</v>
      </c>
      <c r="K229" t="s">
        <v>511</v>
      </c>
      <c r="L229">
        <v>1191</v>
      </c>
      <c r="N229">
        <v>1013</v>
      </c>
      <c r="O229" t="s">
        <v>509</v>
      </c>
      <c r="P229" t="s">
        <v>509</v>
      </c>
      <c r="Q229">
        <v>1</v>
      </c>
      <c r="W229">
        <v>0</v>
      </c>
      <c r="X229">
        <v>-1417349443</v>
      </c>
      <c r="Y229">
        <f t="shared" ref="Y229:Y260" si="84">AT229</f>
        <v>0.2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1</v>
      </c>
      <c r="AJ229">
        <v>1</v>
      </c>
      <c r="AK229">
        <v>1</v>
      </c>
      <c r="AL229">
        <v>1</v>
      </c>
      <c r="AM229">
        <v>-2</v>
      </c>
      <c r="AN229">
        <v>0</v>
      </c>
      <c r="AO229">
        <v>0</v>
      </c>
      <c r="AP229">
        <v>1</v>
      </c>
      <c r="AQ229">
        <v>1</v>
      </c>
      <c r="AR229">
        <v>0</v>
      </c>
      <c r="AS229" t="s">
        <v>3</v>
      </c>
      <c r="AT229">
        <v>0.2</v>
      </c>
      <c r="AU229" t="s">
        <v>3</v>
      </c>
      <c r="AV229">
        <v>2</v>
      </c>
      <c r="AW229">
        <v>2</v>
      </c>
      <c r="AX229">
        <v>65171679</v>
      </c>
      <c r="AY229">
        <v>1</v>
      </c>
      <c r="AZ229">
        <v>0</v>
      </c>
      <c r="BA229">
        <v>231</v>
      </c>
      <c r="BB229">
        <v>1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V229">
        <v>0</v>
      </c>
      <c r="CW229">
        <v>0</v>
      </c>
      <c r="CX229">
        <f>ROUND(Y229*Source!I166,7)</f>
        <v>1.2E-2</v>
      </c>
      <c r="CY229">
        <f>AD229</f>
        <v>0</v>
      </c>
      <c r="CZ229">
        <f>AH229</f>
        <v>0</v>
      </c>
      <c r="DA229">
        <f>AL229</f>
        <v>1</v>
      </c>
      <c r="DB229">
        <f t="shared" ref="DB229:DB260" si="85">ROUND(ROUND(AT229*CZ229,2),6)</f>
        <v>0</v>
      </c>
      <c r="DC229">
        <f t="shared" ref="DC229:DC260" si="86">ROUND(ROUND(AT229*AG229,2),6)</f>
        <v>0</v>
      </c>
      <c r="DD229" t="s">
        <v>3</v>
      </c>
      <c r="DE229" t="s">
        <v>3</v>
      </c>
      <c r="DF229">
        <f t="shared" si="83"/>
        <v>0</v>
      </c>
      <c r="DG229">
        <f t="shared" si="81"/>
        <v>0</v>
      </c>
      <c r="DH229">
        <f t="shared" si="71"/>
        <v>0</v>
      </c>
      <c r="DI229">
        <f t="shared" si="77"/>
        <v>0</v>
      </c>
      <c r="DJ229">
        <f>DI229</f>
        <v>0</v>
      </c>
      <c r="DK229">
        <v>0</v>
      </c>
      <c r="DL229" t="s">
        <v>3</v>
      </c>
      <c r="DM229">
        <v>0</v>
      </c>
      <c r="DN229" t="s">
        <v>3</v>
      </c>
      <c r="DO229">
        <v>0</v>
      </c>
    </row>
    <row r="230" spans="1:119" x14ac:dyDescent="0.2">
      <c r="A230">
        <f>ROW(Source!A166)</f>
        <v>166</v>
      </c>
      <c r="B230">
        <v>65170852</v>
      </c>
      <c r="C230">
        <v>65171668</v>
      </c>
      <c r="D230">
        <v>56571417</v>
      </c>
      <c r="E230">
        <v>1</v>
      </c>
      <c r="F230">
        <v>1</v>
      </c>
      <c r="G230">
        <v>1</v>
      </c>
      <c r="H230">
        <v>2</v>
      </c>
      <c r="I230" t="s">
        <v>512</v>
      </c>
      <c r="J230" t="s">
        <v>513</v>
      </c>
      <c r="K230" t="s">
        <v>514</v>
      </c>
      <c r="L230">
        <v>1368</v>
      </c>
      <c r="N230">
        <v>1011</v>
      </c>
      <c r="O230" t="s">
        <v>515</v>
      </c>
      <c r="P230" t="s">
        <v>515</v>
      </c>
      <c r="Q230">
        <v>1</v>
      </c>
      <c r="W230">
        <v>0</v>
      </c>
      <c r="X230">
        <v>-848025172</v>
      </c>
      <c r="Y230">
        <f t="shared" si="84"/>
        <v>0.1</v>
      </c>
      <c r="AA230">
        <v>0</v>
      </c>
      <c r="AB230">
        <v>1551.19</v>
      </c>
      <c r="AC230">
        <v>658.94</v>
      </c>
      <c r="AD230">
        <v>0</v>
      </c>
      <c r="AE230">
        <v>0</v>
      </c>
      <c r="AF230">
        <v>1551.19</v>
      </c>
      <c r="AG230">
        <v>658.94</v>
      </c>
      <c r="AH230">
        <v>0</v>
      </c>
      <c r="AI230">
        <v>1</v>
      </c>
      <c r="AJ230">
        <v>1</v>
      </c>
      <c r="AK230">
        <v>1</v>
      </c>
      <c r="AL230">
        <v>1</v>
      </c>
      <c r="AM230">
        <v>-2</v>
      </c>
      <c r="AN230">
        <v>0</v>
      </c>
      <c r="AO230">
        <v>0</v>
      </c>
      <c r="AP230">
        <v>1</v>
      </c>
      <c r="AQ230">
        <v>1</v>
      </c>
      <c r="AR230">
        <v>0</v>
      </c>
      <c r="AS230" t="s">
        <v>3</v>
      </c>
      <c r="AT230">
        <v>0.1</v>
      </c>
      <c r="AU230" t="s">
        <v>3</v>
      </c>
      <c r="AV230">
        <v>1</v>
      </c>
      <c r="AW230">
        <v>2</v>
      </c>
      <c r="AX230">
        <v>65171680</v>
      </c>
      <c r="AY230">
        <v>1</v>
      </c>
      <c r="AZ230">
        <v>0</v>
      </c>
      <c r="BA230">
        <v>232</v>
      </c>
      <c r="BB230">
        <v>1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155.11900000000003</v>
      </c>
      <c r="BL230">
        <v>65.894000000000005</v>
      </c>
      <c r="BM230">
        <v>0</v>
      </c>
      <c r="BN230">
        <v>0</v>
      </c>
      <c r="BO230">
        <v>0.1</v>
      </c>
      <c r="BP230">
        <v>1</v>
      </c>
      <c r="BQ230">
        <v>0</v>
      </c>
      <c r="BR230">
        <v>155.11900000000003</v>
      </c>
      <c r="BS230">
        <v>65.894000000000005</v>
      </c>
      <c r="BT230">
        <v>0</v>
      </c>
      <c r="BU230">
        <v>0</v>
      </c>
      <c r="BV230">
        <v>0.1</v>
      </c>
      <c r="BW230">
        <v>1</v>
      </c>
      <c r="CV230">
        <v>0</v>
      </c>
      <c r="CW230">
        <f>ROUND(Y230*Source!I166*DO230,7)</f>
        <v>6.0000000000000001E-3</v>
      </c>
      <c r="CX230">
        <f>ROUND(Y230*Source!I166,7)</f>
        <v>6.0000000000000001E-3</v>
      </c>
      <c r="CY230">
        <f>AB230</f>
        <v>1551.19</v>
      </c>
      <c r="CZ230">
        <f>AF230</f>
        <v>1551.19</v>
      </c>
      <c r="DA230">
        <f>AJ230</f>
        <v>1</v>
      </c>
      <c r="DB230">
        <f t="shared" si="85"/>
        <v>155.12</v>
      </c>
      <c r="DC230">
        <f t="shared" si="86"/>
        <v>65.89</v>
      </c>
      <c r="DD230" t="s">
        <v>3</v>
      </c>
      <c r="DE230" t="s">
        <v>3</v>
      </c>
      <c r="DF230">
        <f t="shared" si="83"/>
        <v>0</v>
      </c>
      <c r="DG230">
        <f t="shared" si="81"/>
        <v>9.31</v>
      </c>
      <c r="DH230">
        <f t="shared" si="71"/>
        <v>3.95</v>
      </c>
      <c r="DI230">
        <f t="shared" si="77"/>
        <v>0</v>
      </c>
      <c r="DJ230">
        <f>DG230+DH230</f>
        <v>13.260000000000002</v>
      </c>
      <c r="DK230">
        <v>1</v>
      </c>
      <c r="DL230" t="s">
        <v>516</v>
      </c>
      <c r="DM230">
        <v>6</v>
      </c>
      <c r="DN230" t="s">
        <v>509</v>
      </c>
      <c r="DO230">
        <v>1</v>
      </c>
    </row>
    <row r="231" spans="1:119" x14ac:dyDescent="0.2">
      <c r="A231">
        <f>ROW(Source!A166)</f>
        <v>166</v>
      </c>
      <c r="B231">
        <v>65170852</v>
      </c>
      <c r="C231">
        <v>65171668</v>
      </c>
      <c r="D231">
        <v>56572833</v>
      </c>
      <c r="E231">
        <v>1</v>
      </c>
      <c r="F231">
        <v>1</v>
      </c>
      <c r="G231">
        <v>1</v>
      </c>
      <c r="H231">
        <v>2</v>
      </c>
      <c r="I231" t="s">
        <v>520</v>
      </c>
      <c r="J231" t="s">
        <v>521</v>
      </c>
      <c r="K231" t="s">
        <v>522</v>
      </c>
      <c r="L231">
        <v>1368</v>
      </c>
      <c r="N231">
        <v>1011</v>
      </c>
      <c r="O231" t="s">
        <v>515</v>
      </c>
      <c r="P231" t="s">
        <v>515</v>
      </c>
      <c r="Q231">
        <v>1</v>
      </c>
      <c r="W231">
        <v>0</v>
      </c>
      <c r="X231">
        <v>1230426758</v>
      </c>
      <c r="Y231">
        <f t="shared" si="84"/>
        <v>0.1</v>
      </c>
      <c r="AA231">
        <v>0</v>
      </c>
      <c r="AB231">
        <v>578.28</v>
      </c>
      <c r="AC231">
        <v>490.55</v>
      </c>
      <c r="AD231">
        <v>0</v>
      </c>
      <c r="AE231">
        <v>0</v>
      </c>
      <c r="AF231">
        <v>477.92</v>
      </c>
      <c r="AG231">
        <v>490.55</v>
      </c>
      <c r="AH231">
        <v>0</v>
      </c>
      <c r="AI231">
        <v>1</v>
      </c>
      <c r="AJ231">
        <v>1.21</v>
      </c>
      <c r="AK231">
        <v>1</v>
      </c>
      <c r="AL231">
        <v>1</v>
      </c>
      <c r="AM231">
        <v>2</v>
      </c>
      <c r="AN231">
        <v>0</v>
      </c>
      <c r="AO231">
        <v>0</v>
      </c>
      <c r="AP231">
        <v>1</v>
      </c>
      <c r="AQ231">
        <v>1</v>
      </c>
      <c r="AR231">
        <v>0</v>
      </c>
      <c r="AS231" t="s">
        <v>3</v>
      </c>
      <c r="AT231">
        <v>0.1</v>
      </c>
      <c r="AU231" t="s">
        <v>3</v>
      </c>
      <c r="AV231">
        <v>1</v>
      </c>
      <c r="AW231">
        <v>2</v>
      </c>
      <c r="AX231">
        <v>65171681</v>
      </c>
      <c r="AY231">
        <v>1</v>
      </c>
      <c r="AZ231">
        <v>0</v>
      </c>
      <c r="BA231">
        <v>233</v>
      </c>
      <c r="BB231">
        <v>1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47.792000000000002</v>
      </c>
      <c r="BL231">
        <v>49.055000000000007</v>
      </c>
      <c r="BM231">
        <v>0</v>
      </c>
      <c r="BN231">
        <v>0</v>
      </c>
      <c r="BO231">
        <v>0.1</v>
      </c>
      <c r="BP231">
        <v>1</v>
      </c>
      <c r="BQ231">
        <v>0</v>
      </c>
      <c r="BR231">
        <v>47.792000000000002</v>
      </c>
      <c r="BS231">
        <v>49.055000000000007</v>
      </c>
      <c r="BT231">
        <v>0</v>
      </c>
      <c r="BU231">
        <v>0</v>
      </c>
      <c r="BV231">
        <v>0.1</v>
      </c>
      <c r="BW231">
        <v>1</v>
      </c>
      <c r="CV231">
        <v>0</v>
      </c>
      <c r="CW231">
        <f>ROUND(Y231*Source!I166*DO231,7)</f>
        <v>6.0000000000000001E-3</v>
      </c>
      <c r="CX231">
        <f>ROUND(Y231*Source!I166,7)</f>
        <v>6.0000000000000001E-3</v>
      </c>
      <c r="CY231">
        <f>AB231</f>
        <v>578.28</v>
      </c>
      <c r="CZ231">
        <f>AF231</f>
        <v>477.92</v>
      </c>
      <c r="DA231">
        <f>AJ231</f>
        <v>1.21</v>
      </c>
      <c r="DB231">
        <f t="shared" si="85"/>
        <v>47.79</v>
      </c>
      <c r="DC231">
        <f t="shared" si="86"/>
        <v>49.06</v>
      </c>
      <c r="DD231" t="s">
        <v>3</v>
      </c>
      <c r="DE231" t="s">
        <v>3</v>
      </c>
      <c r="DF231">
        <f t="shared" si="83"/>
        <v>0</v>
      </c>
      <c r="DG231">
        <f>ROUND(ROUND(AF231*AJ231,2)*CX231,2)</f>
        <v>3.47</v>
      </c>
      <c r="DH231">
        <f t="shared" si="71"/>
        <v>2.94</v>
      </c>
      <c r="DI231">
        <f t="shared" si="77"/>
        <v>0</v>
      </c>
      <c r="DJ231">
        <f>DG231+DH231</f>
        <v>6.41</v>
      </c>
      <c r="DK231">
        <v>0</v>
      </c>
      <c r="DL231" t="s">
        <v>523</v>
      </c>
      <c r="DM231">
        <v>4</v>
      </c>
      <c r="DN231" t="s">
        <v>509</v>
      </c>
      <c r="DO231">
        <v>1</v>
      </c>
    </row>
    <row r="232" spans="1:119" x14ac:dyDescent="0.2">
      <c r="A232">
        <f>ROW(Source!A166)</f>
        <v>166</v>
      </c>
      <c r="B232">
        <v>65170852</v>
      </c>
      <c r="C232">
        <v>65171668</v>
      </c>
      <c r="D232">
        <v>56573153</v>
      </c>
      <c r="E232">
        <v>1</v>
      </c>
      <c r="F232">
        <v>1</v>
      </c>
      <c r="G232">
        <v>1</v>
      </c>
      <c r="H232">
        <v>2</v>
      </c>
      <c r="I232" t="s">
        <v>655</v>
      </c>
      <c r="J232" t="s">
        <v>656</v>
      </c>
      <c r="K232" t="s">
        <v>657</v>
      </c>
      <c r="L232">
        <v>1368</v>
      </c>
      <c r="N232">
        <v>1011</v>
      </c>
      <c r="O232" t="s">
        <v>515</v>
      </c>
      <c r="P232" t="s">
        <v>515</v>
      </c>
      <c r="Q232">
        <v>1</v>
      </c>
      <c r="W232">
        <v>0</v>
      </c>
      <c r="X232">
        <v>1280601743</v>
      </c>
      <c r="Y232">
        <f t="shared" si="84"/>
        <v>0.16</v>
      </c>
      <c r="AA232">
        <v>0</v>
      </c>
      <c r="AB232">
        <v>26.32</v>
      </c>
      <c r="AC232">
        <v>0</v>
      </c>
      <c r="AD232">
        <v>0</v>
      </c>
      <c r="AE232">
        <v>0</v>
      </c>
      <c r="AF232">
        <v>26.32</v>
      </c>
      <c r="AG232">
        <v>0</v>
      </c>
      <c r="AH232">
        <v>0</v>
      </c>
      <c r="AI232">
        <v>1</v>
      </c>
      <c r="AJ232">
        <v>1</v>
      </c>
      <c r="AK232">
        <v>1</v>
      </c>
      <c r="AL232">
        <v>1</v>
      </c>
      <c r="AM232">
        <v>-2</v>
      </c>
      <c r="AN232">
        <v>0</v>
      </c>
      <c r="AO232">
        <v>0</v>
      </c>
      <c r="AP232">
        <v>1</v>
      </c>
      <c r="AQ232">
        <v>1</v>
      </c>
      <c r="AR232">
        <v>0</v>
      </c>
      <c r="AS232" t="s">
        <v>3</v>
      </c>
      <c r="AT232">
        <v>0.16</v>
      </c>
      <c r="AU232" t="s">
        <v>3</v>
      </c>
      <c r="AV232">
        <v>1</v>
      </c>
      <c r="AW232">
        <v>2</v>
      </c>
      <c r="AX232">
        <v>65171682</v>
      </c>
      <c r="AY232">
        <v>1</v>
      </c>
      <c r="AZ232">
        <v>0</v>
      </c>
      <c r="BA232">
        <v>234</v>
      </c>
      <c r="BB232">
        <v>1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4.2111999999999998</v>
      </c>
      <c r="BL232">
        <v>0</v>
      </c>
      <c r="BM232">
        <v>0</v>
      </c>
      <c r="BN232">
        <v>0</v>
      </c>
      <c r="BO232">
        <v>0</v>
      </c>
      <c r="BP232">
        <v>1</v>
      </c>
      <c r="BQ232">
        <v>0</v>
      </c>
      <c r="BR232">
        <v>4.2111999999999998</v>
      </c>
      <c r="BS232">
        <v>0</v>
      </c>
      <c r="BT232">
        <v>0</v>
      </c>
      <c r="BU232">
        <v>0</v>
      </c>
      <c r="BV232">
        <v>0</v>
      </c>
      <c r="BW232">
        <v>1</v>
      </c>
      <c r="CV232">
        <v>0</v>
      </c>
      <c r="CW232">
        <f>ROUND(Y232*Source!I166*DO232,7)</f>
        <v>0</v>
      </c>
      <c r="CX232">
        <f>ROUND(Y232*Source!I166,7)</f>
        <v>9.5999999999999992E-3</v>
      </c>
      <c r="CY232">
        <f>AB232</f>
        <v>26.32</v>
      </c>
      <c r="CZ232">
        <f>AF232</f>
        <v>26.32</v>
      </c>
      <c r="DA232">
        <f>AJ232</f>
        <v>1</v>
      </c>
      <c r="DB232">
        <f t="shared" si="85"/>
        <v>4.21</v>
      </c>
      <c r="DC232">
        <f t="shared" si="86"/>
        <v>0</v>
      </c>
      <c r="DD232" t="s">
        <v>3</v>
      </c>
      <c r="DE232" t="s">
        <v>3</v>
      </c>
      <c r="DF232">
        <f t="shared" si="83"/>
        <v>0</v>
      </c>
      <c r="DG232">
        <f t="shared" ref="DG232:DG243" si="87">ROUND(ROUND(AF232,2)*CX232,2)</f>
        <v>0.25</v>
      </c>
      <c r="DH232">
        <f t="shared" si="71"/>
        <v>0</v>
      </c>
      <c r="DI232">
        <f t="shared" si="77"/>
        <v>0</v>
      </c>
      <c r="DJ232">
        <f>DG232+DH232</f>
        <v>0.25</v>
      </c>
      <c r="DK232">
        <v>1</v>
      </c>
      <c r="DL232" t="s">
        <v>3</v>
      </c>
      <c r="DM232">
        <v>0</v>
      </c>
      <c r="DN232" t="s">
        <v>3</v>
      </c>
      <c r="DO232">
        <v>0</v>
      </c>
    </row>
    <row r="233" spans="1:119" x14ac:dyDescent="0.2">
      <c r="A233">
        <f>ROW(Source!A166)</f>
        <v>166</v>
      </c>
      <c r="B233">
        <v>65170852</v>
      </c>
      <c r="C233">
        <v>65171668</v>
      </c>
      <c r="D233">
        <v>56592838</v>
      </c>
      <c r="E233">
        <v>1</v>
      </c>
      <c r="F233">
        <v>1</v>
      </c>
      <c r="G233">
        <v>1</v>
      </c>
      <c r="H233">
        <v>3</v>
      </c>
      <c r="I233" t="s">
        <v>661</v>
      </c>
      <c r="J233" t="s">
        <v>662</v>
      </c>
      <c r="K233" t="s">
        <v>663</v>
      </c>
      <c r="L233">
        <v>1348</v>
      </c>
      <c r="N233">
        <v>1009</v>
      </c>
      <c r="O233" t="s">
        <v>94</v>
      </c>
      <c r="P233" t="s">
        <v>94</v>
      </c>
      <c r="Q233">
        <v>1000</v>
      </c>
      <c r="W233">
        <v>0</v>
      </c>
      <c r="X233">
        <v>1567871126</v>
      </c>
      <c r="Y233">
        <f t="shared" si="84"/>
        <v>3.0000000000000001E-3</v>
      </c>
      <c r="AA233">
        <v>61873.2</v>
      </c>
      <c r="AB233">
        <v>0</v>
      </c>
      <c r="AC233">
        <v>0</v>
      </c>
      <c r="AD233">
        <v>0</v>
      </c>
      <c r="AE233">
        <v>70310.45</v>
      </c>
      <c r="AF233">
        <v>0</v>
      </c>
      <c r="AG233">
        <v>0</v>
      </c>
      <c r="AH233">
        <v>0</v>
      </c>
      <c r="AI233">
        <v>0.88</v>
      </c>
      <c r="AJ233">
        <v>1</v>
      </c>
      <c r="AK233">
        <v>1</v>
      </c>
      <c r="AL233">
        <v>1</v>
      </c>
      <c r="AM233">
        <v>2</v>
      </c>
      <c r="AN233">
        <v>0</v>
      </c>
      <c r="AO233">
        <v>0</v>
      </c>
      <c r="AP233">
        <v>0</v>
      </c>
      <c r="AQ233">
        <v>1</v>
      </c>
      <c r="AR233">
        <v>0</v>
      </c>
      <c r="AS233" t="s">
        <v>3</v>
      </c>
      <c r="AT233">
        <v>3.0000000000000001E-3</v>
      </c>
      <c r="AU233" t="s">
        <v>3</v>
      </c>
      <c r="AV233">
        <v>0</v>
      </c>
      <c r="AW233">
        <v>2</v>
      </c>
      <c r="AX233">
        <v>65171683</v>
      </c>
      <c r="AY233">
        <v>1</v>
      </c>
      <c r="AZ233">
        <v>0</v>
      </c>
      <c r="BA233">
        <v>235</v>
      </c>
      <c r="BB233">
        <v>1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210.93135000000001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1</v>
      </c>
      <c r="BQ233">
        <v>210.93135000000001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1</v>
      </c>
      <c r="CV233">
        <v>0</v>
      </c>
      <c r="CW233">
        <v>0</v>
      </c>
      <c r="CX233">
        <f>ROUND(Y233*Source!I166,7)</f>
        <v>1.8000000000000001E-4</v>
      </c>
      <c r="CY233">
        <f>AA233</f>
        <v>61873.2</v>
      </c>
      <c r="CZ233">
        <f>AE233</f>
        <v>70310.45</v>
      </c>
      <c r="DA233">
        <f>AI233</f>
        <v>0.88</v>
      </c>
      <c r="DB233">
        <f t="shared" si="85"/>
        <v>210.93</v>
      </c>
      <c r="DC233">
        <f t="shared" si="86"/>
        <v>0</v>
      </c>
      <c r="DD233" t="s">
        <v>3</v>
      </c>
      <c r="DE233" t="s">
        <v>3</v>
      </c>
      <c r="DF233">
        <f>ROUND(ROUND(AE233*AI233,2)*CX233,2)</f>
        <v>11.14</v>
      </c>
      <c r="DG233">
        <f t="shared" si="87"/>
        <v>0</v>
      </c>
      <c r="DH233">
        <f t="shared" si="71"/>
        <v>0</v>
      </c>
      <c r="DI233">
        <f t="shared" si="77"/>
        <v>0</v>
      </c>
      <c r="DJ233">
        <f>DF233</f>
        <v>11.14</v>
      </c>
      <c r="DK233">
        <v>0</v>
      </c>
      <c r="DL233" t="s">
        <v>3</v>
      </c>
      <c r="DM233">
        <v>0</v>
      </c>
      <c r="DN233" t="s">
        <v>3</v>
      </c>
      <c r="DO233">
        <v>0</v>
      </c>
    </row>
    <row r="234" spans="1:119" x14ac:dyDescent="0.2">
      <c r="A234">
        <f>ROW(Source!A166)</f>
        <v>166</v>
      </c>
      <c r="B234">
        <v>65170852</v>
      </c>
      <c r="C234">
        <v>65171668</v>
      </c>
      <c r="D234">
        <v>56610084</v>
      </c>
      <c r="E234">
        <v>1</v>
      </c>
      <c r="F234">
        <v>1</v>
      </c>
      <c r="G234">
        <v>1</v>
      </c>
      <c r="H234">
        <v>3</v>
      </c>
      <c r="I234" t="s">
        <v>723</v>
      </c>
      <c r="J234" t="s">
        <v>724</v>
      </c>
      <c r="K234" t="s">
        <v>725</v>
      </c>
      <c r="L234">
        <v>1346</v>
      </c>
      <c r="N234">
        <v>1009</v>
      </c>
      <c r="O234" t="s">
        <v>549</v>
      </c>
      <c r="P234" t="s">
        <v>549</v>
      </c>
      <c r="Q234">
        <v>1</v>
      </c>
      <c r="W234">
        <v>0</v>
      </c>
      <c r="X234">
        <v>50985725</v>
      </c>
      <c r="Y234">
        <f t="shared" si="84"/>
        <v>0.8</v>
      </c>
      <c r="AA234">
        <v>104.64</v>
      </c>
      <c r="AB234">
        <v>0</v>
      </c>
      <c r="AC234">
        <v>0</v>
      </c>
      <c r="AD234">
        <v>0</v>
      </c>
      <c r="AE234">
        <v>79.88</v>
      </c>
      <c r="AF234">
        <v>0</v>
      </c>
      <c r="AG234">
        <v>0</v>
      </c>
      <c r="AH234">
        <v>0</v>
      </c>
      <c r="AI234">
        <v>1.31</v>
      </c>
      <c r="AJ234">
        <v>1</v>
      </c>
      <c r="AK234">
        <v>1</v>
      </c>
      <c r="AL234">
        <v>1</v>
      </c>
      <c r="AM234">
        <v>2</v>
      </c>
      <c r="AN234">
        <v>0</v>
      </c>
      <c r="AO234">
        <v>0</v>
      </c>
      <c r="AP234">
        <v>0</v>
      </c>
      <c r="AQ234">
        <v>1</v>
      </c>
      <c r="AR234">
        <v>0</v>
      </c>
      <c r="AS234" t="s">
        <v>3</v>
      </c>
      <c r="AT234">
        <v>0.8</v>
      </c>
      <c r="AU234" t="s">
        <v>3</v>
      </c>
      <c r="AV234">
        <v>0</v>
      </c>
      <c r="AW234">
        <v>2</v>
      </c>
      <c r="AX234">
        <v>65171684</v>
      </c>
      <c r="AY234">
        <v>1</v>
      </c>
      <c r="AZ234">
        <v>0</v>
      </c>
      <c r="BA234">
        <v>236</v>
      </c>
      <c r="BB234">
        <v>1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63.903999999999996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1</v>
      </c>
      <c r="BQ234">
        <v>63.903999999999996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1</v>
      </c>
      <c r="CV234">
        <v>0</v>
      </c>
      <c r="CW234">
        <v>0</v>
      </c>
      <c r="CX234">
        <f>ROUND(Y234*Source!I166,7)</f>
        <v>4.8000000000000001E-2</v>
      </c>
      <c r="CY234">
        <f>AA234</f>
        <v>104.64</v>
      </c>
      <c r="CZ234">
        <f>AE234</f>
        <v>79.88</v>
      </c>
      <c r="DA234">
        <f>AI234</f>
        <v>1.31</v>
      </c>
      <c r="DB234">
        <f t="shared" si="85"/>
        <v>63.9</v>
      </c>
      <c r="DC234">
        <f t="shared" si="86"/>
        <v>0</v>
      </c>
      <c r="DD234" t="s">
        <v>3</v>
      </c>
      <c r="DE234" t="s">
        <v>3</v>
      </c>
      <c r="DF234">
        <f>ROUND(ROUND(AE234*AI234,2)*CX234,2)</f>
        <v>5.0199999999999996</v>
      </c>
      <c r="DG234">
        <f t="shared" si="87"/>
        <v>0</v>
      </c>
      <c r="DH234">
        <f t="shared" si="71"/>
        <v>0</v>
      </c>
      <c r="DI234">
        <f t="shared" si="77"/>
        <v>0</v>
      </c>
      <c r="DJ234">
        <f>DF234</f>
        <v>5.0199999999999996</v>
      </c>
      <c r="DK234">
        <v>0</v>
      </c>
      <c r="DL234" t="s">
        <v>3</v>
      </c>
      <c r="DM234">
        <v>0</v>
      </c>
      <c r="DN234" t="s">
        <v>3</v>
      </c>
      <c r="DO234">
        <v>0</v>
      </c>
    </row>
    <row r="235" spans="1:119" x14ac:dyDescent="0.2">
      <c r="A235">
        <f>ROW(Source!A166)</f>
        <v>166</v>
      </c>
      <c r="B235">
        <v>65170852</v>
      </c>
      <c r="C235">
        <v>65171668</v>
      </c>
      <c r="D235">
        <v>56628169</v>
      </c>
      <c r="E235">
        <v>1</v>
      </c>
      <c r="F235">
        <v>1</v>
      </c>
      <c r="G235">
        <v>1</v>
      </c>
      <c r="H235">
        <v>3</v>
      </c>
      <c r="I235" t="s">
        <v>726</v>
      </c>
      <c r="J235" t="s">
        <v>727</v>
      </c>
      <c r="K235" t="s">
        <v>728</v>
      </c>
      <c r="L235">
        <v>1425</v>
      </c>
      <c r="N235">
        <v>1013</v>
      </c>
      <c r="O235" t="s">
        <v>76</v>
      </c>
      <c r="P235" t="s">
        <v>76</v>
      </c>
      <c r="Q235">
        <v>1</v>
      </c>
      <c r="W235">
        <v>0</v>
      </c>
      <c r="X235">
        <v>525231442</v>
      </c>
      <c r="Y235">
        <f t="shared" si="84"/>
        <v>1.02</v>
      </c>
      <c r="AA235">
        <v>959.27</v>
      </c>
      <c r="AB235">
        <v>0</v>
      </c>
      <c r="AC235">
        <v>0</v>
      </c>
      <c r="AD235">
        <v>0</v>
      </c>
      <c r="AE235">
        <v>896.51</v>
      </c>
      <c r="AF235">
        <v>0</v>
      </c>
      <c r="AG235">
        <v>0</v>
      </c>
      <c r="AH235">
        <v>0</v>
      </c>
      <c r="AI235">
        <v>1.07</v>
      </c>
      <c r="AJ235">
        <v>1</v>
      </c>
      <c r="AK235">
        <v>1</v>
      </c>
      <c r="AL235">
        <v>1</v>
      </c>
      <c r="AM235">
        <v>2</v>
      </c>
      <c r="AN235">
        <v>0</v>
      </c>
      <c r="AO235">
        <v>0</v>
      </c>
      <c r="AP235">
        <v>0</v>
      </c>
      <c r="AQ235">
        <v>1</v>
      </c>
      <c r="AR235">
        <v>0</v>
      </c>
      <c r="AS235" t="s">
        <v>3</v>
      </c>
      <c r="AT235">
        <v>1.02</v>
      </c>
      <c r="AU235" t="s">
        <v>3</v>
      </c>
      <c r="AV235">
        <v>0</v>
      </c>
      <c r="AW235">
        <v>2</v>
      </c>
      <c r="AX235">
        <v>65171685</v>
      </c>
      <c r="AY235">
        <v>1</v>
      </c>
      <c r="AZ235">
        <v>0</v>
      </c>
      <c r="BA235">
        <v>237</v>
      </c>
      <c r="BB235">
        <v>1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914.4402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1</v>
      </c>
      <c r="BQ235">
        <v>914.4402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1</v>
      </c>
      <c r="CV235">
        <v>0</v>
      </c>
      <c r="CW235">
        <v>0</v>
      </c>
      <c r="CX235">
        <f>ROUND(Y235*Source!I166,7)</f>
        <v>6.1199999999999997E-2</v>
      </c>
      <c r="CY235">
        <f>AA235</f>
        <v>959.27</v>
      </c>
      <c r="CZ235">
        <f>AE235</f>
        <v>896.51</v>
      </c>
      <c r="DA235">
        <f>AI235</f>
        <v>1.07</v>
      </c>
      <c r="DB235">
        <f t="shared" si="85"/>
        <v>914.44</v>
      </c>
      <c r="DC235">
        <f t="shared" si="86"/>
        <v>0</v>
      </c>
      <c r="DD235" t="s">
        <v>3</v>
      </c>
      <c r="DE235" t="s">
        <v>3</v>
      </c>
      <c r="DF235">
        <f>ROUND(ROUND(AE235*AI235,2)*CX235,2)</f>
        <v>58.71</v>
      </c>
      <c r="DG235">
        <f t="shared" si="87"/>
        <v>0</v>
      </c>
      <c r="DH235">
        <f t="shared" si="71"/>
        <v>0</v>
      </c>
      <c r="DI235">
        <f t="shared" si="77"/>
        <v>0</v>
      </c>
      <c r="DJ235">
        <f>DF235</f>
        <v>58.71</v>
      </c>
      <c r="DK235">
        <v>0</v>
      </c>
      <c r="DL235" t="s">
        <v>3</v>
      </c>
      <c r="DM235">
        <v>0</v>
      </c>
      <c r="DN235" t="s">
        <v>3</v>
      </c>
      <c r="DO235">
        <v>0</v>
      </c>
    </row>
    <row r="236" spans="1:119" x14ac:dyDescent="0.2">
      <c r="A236">
        <f>ROW(Source!A166)</f>
        <v>166</v>
      </c>
      <c r="B236">
        <v>65170852</v>
      </c>
      <c r="C236">
        <v>65171668</v>
      </c>
      <c r="D236">
        <v>56223463</v>
      </c>
      <c r="E236">
        <v>108</v>
      </c>
      <c r="F236">
        <v>1</v>
      </c>
      <c r="G236">
        <v>1</v>
      </c>
      <c r="H236">
        <v>3</v>
      </c>
      <c r="I236" t="s">
        <v>667</v>
      </c>
      <c r="J236" t="s">
        <v>3</v>
      </c>
      <c r="K236" t="s">
        <v>668</v>
      </c>
      <c r="L236">
        <v>3277935</v>
      </c>
      <c r="N236">
        <v>1013</v>
      </c>
      <c r="O236" t="s">
        <v>669</v>
      </c>
      <c r="P236" t="s">
        <v>669</v>
      </c>
      <c r="Q236">
        <v>1</v>
      </c>
      <c r="W236">
        <v>0</v>
      </c>
      <c r="X236">
        <v>274903907</v>
      </c>
      <c r="Y236">
        <f t="shared" si="84"/>
        <v>2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1</v>
      </c>
      <c r="AJ236">
        <v>1</v>
      </c>
      <c r="AK236">
        <v>1</v>
      </c>
      <c r="AL236">
        <v>1</v>
      </c>
      <c r="AM236">
        <v>-2</v>
      </c>
      <c r="AN236">
        <v>0</v>
      </c>
      <c r="AO236">
        <v>0</v>
      </c>
      <c r="AP236">
        <v>0</v>
      </c>
      <c r="AQ236">
        <v>1</v>
      </c>
      <c r="AR236">
        <v>0</v>
      </c>
      <c r="AS236" t="s">
        <v>3</v>
      </c>
      <c r="AT236">
        <v>2</v>
      </c>
      <c r="AU236" t="s">
        <v>3</v>
      </c>
      <c r="AV236">
        <v>0</v>
      </c>
      <c r="AW236">
        <v>2</v>
      </c>
      <c r="AX236">
        <v>65171686</v>
      </c>
      <c r="AY236">
        <v>1</v>
      </c>
      <c r="AZ236">
        <v>0</v>
      </c>
      <c r="BA236">
        <v>238</v>
      </c>
      <c r="BB236">
        <v>1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V236">
        <v>0</v>
      </c>
      <c r="CW236">
        <v>0</v>
      </c>
      <c r="CX236">
        <f>ROUND(Y236*Source!I166,7)</f>
        <v>0.12</v>
      </c>
      <c r="CY236">
        <f>AA236</f>
        <v>0</v>
      </c>
      <c r="CZ236">
        <f>AE236</f>
        <v>0</v>
      </c>
      <c r="DA236">
        <f>AI236</f>
        <v>1</v>
      </c>
      <c r="DB236">
        <f t="shared" si="85"/>
        <v>0</v>
      </c>
      <c r="DC236">
        <f t="shared" si="86"/>
        <v>0</v>
      </c>
      <c r="DD236" t="s">
        <v>3</v>
      </c>
      <c r="DE236" t="s">
        <v>3</v>
      </c>
      <c r="DF236">
        <f t="shared" ref="DF236:DF250" si="88">ROUND(ROUND(AE236,2)*CX236,2)</f>
        <v>0</v>
      </c>
      <c r="DG236">
        <f t="shared" si="87"/>
        <v>0</v>
      </c>
      <c r="DH236">
        <f t="shared" si="71"/>
        <v>0</v>
      </c>
      <c r="DI236">
        <f t="shared" si="77"/>
        <v>0</v>
      </c>
      <c r="DJ236">
        <f>DF236</f>
        <v>0</v>
      </c>
      <c r="DK236">
        <v>0</v>
      </c>
      <c r="DL236" t="s">
        <v>3</v>
      </c>
      <c r="DM236">
        <v>0</v>
      </c>
      <c r="DN236" t="s">
        <v>3</v>
      </c>
      <c r="DO236">
        <v>0</v>
      </c>
    </row>
    <row r="237" spans="1:119" x14ac:dyDescent="0.2">
      <c r="A237">
        <f>ROW(Source!A167)</f>
        <v>167</v>
      </c>
      <c r="B237">
        <v>65170852</v>
      </c>
      <c r="C237">
        <v>65171687</v>
      </c>
      <c r="D237">
        <v>56217408</v>
      </c>
      <c r="E237">
        <v>108</v>
      </c>
      <c r="F237">
        <v>1</v>
      </c>
      <c r="G237">
        <v>1</v>
      </c>
      <c r="H237">
        <v>1</v>
      </c>
      <c r="I237" t="s">
        <v>697</v>
      </c>
      <c r="J237" t="s">
        <v>3</v>
      </c>
      <c r="K237" t="s">
        <v>698</v>
      </c>
      <c r="L237">
        <v>1369</v>
      </c>
      <c r="N237">
        <v>1013</v>
      </c>
      <c r="O237" t="s">
        <v>699</v>
      </c>
      <c r="P237" t="s">
        <v>699</v>
      </c>
      <c r="Q237">
        <v>1</v>
      </c>
      <c r="W237">
        <v>0</v>
      </c>
      <c r="X237">
        <v>-236928766</v>
      </c>
      <c r="Y237">
        <f t="shared" si="84"/>
        <v>0.91</v>
      </c>
      <c r="AA237">
        <v>0</v>
      </c>
      <c r="AB237">
        <v>0</v>
      </c>
      <c r="AC237">
        <v>0</v>
      </c>
      <c r="AD237">
        <v>399.03</v>
      </c>
      <c r="AE237">
        <v>0</v>
      </c>
      <c r="AF237">
        <v>0</v>
      </c>
      <c r="AG237">
        <v>0</v>
      </c>
      <c r="AH237">
        <v>399.03</v>
      </c>
      <c r="AI237">
        <v>1</v>
      </c>
      <c r="AJ237">
        <v>1</v>
      </c>
      <c r="AK237">
        <v>1</v>
      </c>
      <c r="AL237">
        <v>1</v>
      </c>
      <c r="AM237">
        <v>-2</v>
      </c>
      <c r="AN237">
        <v>0</v>
      </c>
      <c r="AO237">
        <v>0</v>
      </c>
      <c r="AP237">
        <v>1</v>
      </c>
      <c r="AQ237">
        <v>1</v>
      </c>
      <c r="AR237">
        <v>0</v>
      </c>
      <c r="AS237" t="s">
        <v>3</v>
      </c>
      <c r="AT237">
        <v>0.91</v>
      </c>
      <c r="AU237" t="s">
        <v>3</v>
      </c>
      <c r="AV237">
        <v>1</v>
      </c>
      <c r="AW237">
        <v>2</v>
      </c>
      <c r="AX237">
        <v>65171698</v>
      </c>
      <c r="AY237">
        <v>1</v>
      </c>
      <c r="AZ237">
        <v>0</v>
      </c>
      <c r="BA237">
        <v>239</v>
      </c>
      <c r="BB237">
        <v>1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363.1173</v>
      </c>
      <c r="BN237">
        <v>0.91</v>
      </c>
      <c r="BO237">
        <v>0</v>
      </c>
      <c r="BP237">
        <v>1</v>
      </c>
      <c r="BQ237">
        <v>0</v>
      </c>
      <c r="BR237">
        <v>0</v>
      </c>
      <c r="BS237">
        <v>0</v>
      </c>
      <c r="BT237">
        <v>363.1173</v>
      </c>
      <c r="BU237">
        <v>0.91</v>
      </c>
      <c r="BV237">
        <v>0</v>
      </c>
      <c r="BW237">
        <v>1</v>
      </c>
      <c r="CU237">
        <f>ROUND(AT237*Source!I167*AH237*AL237,2)</f>
        <v>3.63</v>
      </c>
      <c r="CV237">
        <f>ROUND(Y237*Source!I167,7)</f>
        <v>9.1000000000000004E-3</v>
      </c>
      <c r="CW237">
        <v>0</v>
      </c>
      <c r="CX237">
        <f>ROUND(Y237*Source!I167,7)</f>
        <v>9.1000000000000004E-3</v>
      </c>
      <c r="CY237">
        <f>AD237</f>
        <v>399.03</v>
      </c>
      <c r="CZ237">
        <f>AH237</f>
        <v>399.03</v>
      </c>
      <c r="DA237">
        <f>AL237</f>
        <v>1</v>
      </c>
      <c r="DB237">
        <f t="shared" si="85"/>
        <v>363.12</v>
      </c>
      <c r="DC237">
        <f t="shared" si="86"/>
        <v>0</v>
      </c>
      <c r="DD237" t="s">
        <v>3</v>
      </c>
      <c r="DE237" t="s">
        <v>3</v>
      </c>
      <c r="DF237">
        <f t="shared" si="88"/>
        <v>0</v>
      </c>
      <c r="DG237">
        <f t="shared" si="87"/>
        <v>0</v>
      </c>
      <c r="DH237">
        <f t="shared" si="71"/>
        <v>0</v>
      </c>
      <c r="DI237">
        <f t="shared" si="77"/>
        <v>3.63</v>
      </c>
      <c r="DJ237">
        <f>DI237</f>
        <v>3.63</v>
      </c>
      <c r="DK237">
        <v>1</v>
      </c>
      <c r="DL237" t="s">
        <v>3</v>
      </c>
      <c r="DM237">
        <v>0</v>
      </c>
      <c r="DN237" t="s">
        <v>3</v>
      </c>
      <c r="DO237">
        <v>0</v>
      </c>
    </row>
    <row r="238" spans="1:119" x14ac:dyDescent="0.2">
      <c r="A238">
        <f>ROW(Source!A167)</f>
        <v>167</v>
      </c>
      <c r="B238">
        <v>65170852</v>
      </c>
      <c r="C238">
        <v>65171687</v>
      </c>
      <c r="D238">
        <v>56217411</v>
      </c>
      <c r="E238">
        <v>108</v>
      </c>
      <c r="F238">
        <v>1</v>
      </c>
      <c r="G238">
        <v>1</v>
      </c>
      <c r="H238">
        <v>1</v>
      </c>
      <c r="I238" t="s">
        <v>700</v>
      </c>
      <c r="J238" t="s">
        <v>3</v>
      </c>
      <c r="K238" t="s">
        <v>701</v>
      </c>
      <c r="L238">
        <v>1369</v>
      </c>
      <c r="N238">
        <v>1013</v>
      </c>
      <c r="O238" t="s">
        <v>699</v>
      </c>
      <c r="P238" t="s">
        <v>699</v>
      </c>
      <c r="Q238">
        <v>1</v>
      </c>
      <c r="W238">
        <v>0</v>
      </c>
      <c r="X238">
        <v>-587036825</v>
      </c>
      <c r="Y238">
        <f t="shared" si="84"/>
        <v>38.89</v>
      </c>
      <c r="AA238">
        <v>0</v>
      </c>
      <c r="AB238">
        <v>0</v>
      </c>
      <c r="AC238">
        <v>0</v>
      </c>
      <c r="AD238">
        <v>435.64</v>
      </c>
      <c r="AE238">
        <v>0</v>
      </c>
      <c r="AF238">
        <v>0</v>
      </c>
      <c r="AG238">
        <v>0</v>
      </c>
      <c r="AH238">
        <v>435.64</v>
      </c>
      <c r="AI238">
        <v>1</v>
      </c>
      <c r="AJ238">
        <v>1</v>
      </c>
      <c r="AK238">
        <v>1</v>
      </c>
      <c r="AL238">
        <v>1</v>
      </c>
      <c r="AM238">
        <v>-2</v>
      </c>
      <c r="AN238">
        <v>0</v>
      </c>
      <c r="AO238">
        <v>0</v>
      </c>
      <c r="AP238">
        <v>1</v>
      </c>
      <c r="AQ238">
        <v>1</v>
      </c>
      <c r="AR238">
        <v>0</v>
      </c>
      <c r="AS238" t="s">
        <v>3</v>
      </c>
      <c r="AT238">
        <v>38.89</v>
      </c>
      <c r="AU238" t="s">
        <v>3</v>
      </c>
      <c r="AV238">
        <v>1</v>
      </c>
      <c r="AW238">
        <v>2</v>
      </c>
      <c r="AX238">
        <v>65171699</v>
      </c>
      <c r="AY238">
        <v>1</v>
      </c>
      <c r="AZ238">
        <v>0</v>
      </c>
      <c r="BA238">
        <v>240</v>
      </c>
      <c r="BB238">
        <v>1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16942.0396</v>
      </c>
      <c r="BN238">
        <v>38.89</v>
      </c>
      <c r="BO238">
        <v>0</v>
      </c>
      <c r="BP238">
        <v>1</v>
      </c>
      <c r="BQ238">
        <v>0</v>
      </c>
      <c r="BR238">
        <v>0</v>
      </c>
      <c r="BS238">
        <v>0</v>
      </c>
      <c r="BT238">
        <v>16942.0396</v>
      </c>
      <c r="BU238">
        <v>38.89</v>
      </c>
      <c r="BV238">
        <v>0</v>
      </c>
      <c r="BW238">
        <v>1</v>
      </c>
      <c r="CU238">
        <f>ROUND(AT238*Source!I167*AH238*AL238,2)</f>
        <v>169.42</v>
      </c>
      <c r="CV238">
        <f>ROUND(Y238*Source!I167,7)</f>
        <v>0.38890000000000002</v>
      </c>
      <c r="CW238">
        <v>0</v>
      </c>
      <c r="CX238">
        <f>ROUND(Y238*Source!I167,7)</f>
        <v>0.38890000000000002</v>
      </c>
      <c r="CY238">
        <f>AD238</f>
        <v>435.64</v>
      </c>
      <c r="CZ238">
        <f>AH238</f>
        <v>435.64</v>
      </c>
      <c r="DA238">
        <f>AL238</f>
        <v>1</v>
      </c>
      <c r="DB238">
        <f t="shared" si="85"/>
        <v>16942.04</v>
      </c>
      <c r="DC238">
        <f t="shared" si="86"/>
        <v>0</v>
      </c>
      <c r="DD238" t="s">
        <v>3</v>
      </c>
      <c r="DE238" t="s">
        <v>3</v>
      </c>
      <c r="DF238">
        <f t="shared" si="88"/>
        <v>0</v>
      </c>
      <c r="DG238">
        <f t="shared" si="87"/>
        <v>0</v>
      </c>
      <c r="DH238">
        <f t="shared" si="71"/>
        <v>0</v>
      </c>
      <c r="DI238">
        <f t="shared" si="77"/>
        <v>169.42</v>
      </c>
      <c r="DJ238">
        <f>DI238</f>
        <v>169.42</v>
      </c>
      <c r="DK238">
        <v>1</v>
      </c>
      <c r="DL238" t="s">
        <v>3</v>
      </c>
      <c r="DM238">
        <v>0</v>
      </c>
      <c r="DN238" t="s">
        <v>3</v>
      </c>
      <c r="DO238">
        <v>0</v>
      </c>
    </row>
    <row r="239" spans="1:119" x14ac:dyDescent="0.2">
      <c r="A239">
        <f>ROW(Source!A167)</f>
        <v>167</v>
      </c>
      <c r="B239">
        <v>65170852</v>
      </c>
      <c r="C239">
        <v>65171687</v>
      </c>
      <c r="D239">
        <v>56217415</v>
      </c>
      <c r="E239">
        <v>108</v>
      </c>
      <c r="F239">
        <v>1</v>
      </c>
      <c r="G239">
        <v>1</v>
      </c>
      <c r="H239">
        <v>1</v>
      </c>
      <c r="I239" t="s">
        <v>702</v>
      </c>
      <c r="J239" t="s">
        <v>3</v>
      </c>
      <c r="K239" t="s">
        <v>703</v>
      </c>
      <c r="L239">
        <v>1369</v>
      </c>
      <c r="N239">
        <v>1013</v>
      </c>
      <c r="O239" t="s">
        <v>699</v>
      </c>
      <c r="P239" t="s">
        <v>699</v>
      </c>
      <c r="Q239">
        <v>1</v>
      </c>
      <c r="W239">
        <v>0</v>
      </c>
      <c r="X239">
        <v>-512803540</v>
      </c>
      <c r="Y239">
        <f t="shared" si="84"/>
        <v>19.239999999999998</v>
      </c>
      <c r="AA239">
        <v>0</v>
      </c>
      <c r="AB239">
        <v>0</v>
      </c>
      <c r="AC239">
        <v>0</v>
      </c>
      <c r="AD239">
        <v>490.55</v>
      </c>
      <c r="AE239">
        <v>0</v>
      </c>
      <c r="AF239">
        <v>0</v>
      </c>
      <c r="AG239">
        <v>0</v>
      </c>
      <c r="AH239">
        <v>490.55</v>
      </c>
      <c r="AI239">
        <v>1</v>
      </c>
      <c r="AJ239">
        <v>1</v>
      </c>
      <c r="AK239">
        <v>1</v>
      </c>
      <c r="AL239">
        <v>1</v>
      </c>
      <c r="AM239">
        <v>-2</v>
      </c>
      <c r="AN239">
        <v>0</v>
      </c>
      <c r="AO239">
        <v>0</v>
      </c>
      <c r="AP239">
        <v>1</v>
      </c>
      <c r="AQ239">
        <v>1</v>
      </c>
      <c r="AR239">
        <v>0</v>
      </c>
      <c r="AS239" t="s">
        <v>3</v>
      </c>
      <c r="AT239">
        <v>19.239999999999998</v>
      </c>
      <c r="AU239" t="s">
        <v>3</v>
      </c>
      <c r="AV239">
        <v>1</v>
      </c>
      <c r="AW239">
        <v>2</v>
      </c>
      <c r="AX239">
        <v>65171700</v>
      </c>
      <c r="AY239">
        <v>1</v>
      </c>
      <c r="AZ239">
        <v>0</v>
      </c>
      <c r="BA239">
        <v>241</v>
      </c>
      <c r="BB239">
        <v>1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9438.1819999999989</v>
      </c>
      <c r="BN239">
        <v>19.239999999999998</v>
      </c>
      <c r="BO239">
        <v>0</v>
      </c>
      <c r="BP239">
        <v>1</v>
      </c>
      <c r="BQ239">
        <v>0</v>
      </c>
      <c r="BR239">
        <v>0</v>
      </c>
      <c r="BS239">
        <v>0</v>
      </c>
      <c r="BT239">
        <v>9438.1819999999989</v>
      </c>
      <c r="BU239">
        <v>19.239999999999998</v>
      </c>
      <c r="BV239">
        <v>0</v>
      </c>
      <c r="BW239">
        <v>1</v>
      </c>
      <c r="CU239">
        <f>ROUND(AT239*Source!I167*AH239*AL239,2)</f>
        <v>94.38</v>
      </c>
      <c r="CV239">
        <f>ROUND(Y239*Source!I167,7)</f>
        <v>0.19239999999999999</v>
      </c>
      <c r="CW239">
        <v>0</v>
      </c>
      <c r="CX239">
        <f>ROUND(Y239*Source!I167,7)</f>
        <v>0.19239999999999999</v>
      </c>
      <c r="CY239">
        <f>AD239</f>
        <v>490.55</v>
      </c>
      <c r="CZ239">
        <f>AH239</f>
        <v>490.55</v>
      </c>
      <c r="DA239">
        <f>AL239</f>
        <v>1</v>
      </c>
      <c r="DB239">
        <f t="shared" si="85"/>
        <v>9438.18</v>
      </c>
      <c r="DC239">
        <f t="shared" si="86"/>
        <v>0</v>
      </c>
      <c r="DD239" t="s">
        <v>3</v>
      </c>
      <c r="DE239" t="s">
        <v>3</v>
      </c>
      <c r="DF239">
        <f t="shared" si="88"/>
        <v>0</v>
      </c>
      <c r="DG239">
        <f t="shared" si="87"/>
        <v>0</v>
      </c>
      <c r="DH239">
        <f t="shared" si="71"/>
        <v>0</v>
      </c>
      <c r="DI239">
        <f t="shared" si="77"/>
        <v>94.38</v>
      </c>
      <c r="DJ239">
        <f>DI239</f>
        <v>94.38</v>
      </c>
      <c r="DK239">
        <v>1</v>
      </c>
      <c r="DL239" t="s">
        <v>3</v>
      </c>
      <c r="DM239">
        <v>0</v>
      </c>
      <c r="DN239" t="s">
        <v>3</v>
      </c>
      <c r="DO239">
        <v>0</v>
      </c>
    </row>
    <row r="240" spans="1:119" x14ac:dyDescent="0.2">
      <c r="A240">
        <f>ROW(Source!A167)</f>
        <v>167</v>
      </c>
      <c r="B240">
        <v>65170852</v>
      </c>
      <c r="C240">
        <v>65171687</v>
      </c>
      <c r="D240">
        <v>56217418</v>
      </c>
      <c r="E240">
        <v>108</v>
      </c>
      <c r="F240">
        <v>1</v>
      </c>
      <c r="G240">
        <v>1</v>
      </c>
      <c r="H240">
        <v>1</v>
      </c>
      <c r="I240" t="s">
        <v>704</v>
      </c>
      <c r="J240" t="s">
        <v>3</v>
      </c>
      <c r="K240" t="s">
        <v>705</v>
      </c>
      <c r="L240">
        <v>1369</v>
      </c>
      <c r="N240">
        <v>1013</v>
      </c>
      <c r="O240" t="s">
        <v>699</v>
      </c>
      <c r="P240" t="s">
        <v>699</v>
      </c>
      <c r="Q240">
        <v>1</v>
      </c>
      <c r="W240">
        <v>0</v>
      </c>
      <c r="X240">
        <v>1518711480</v>
      </c>
      <c r="Y240">
        <f t="shared" si="84"/>
        <v>19.239999999999998</v>
      </c>
      <c r="AA240">
        <v>0</v>
      </c>
      <c r="AB240">
        <v>0</v>
      </c>
      <c r="AC240">
        <v>0</v>
      </c>
      <c r="AD240">
        <v>563.76</v>
      </c>
      <c r="AE240">
        <v>0</v>
      </c>
      <c r="AF240">
        <v>0</v>
      </c>
      <c r="AG240">
        <v>0</v>
      </c>
      <c r="AH240">
        <v>563.76</v>
      </c>
      <c r="AI240">
        <v>1</v>
      </c>
      <c r="AJ240">
        <v>1</v>
      </c>
      <c r="AK240">
        <v>1</v>
      </c>
      <c r="AL240">
        <v>1</v>
      </c>
      <c r="AM240">
        <v>-2</v>
      </c>
      <c r="AN240">
        <v>0</v>
      </c>
      <c r="AO240">
        <v>0</v>
      </c>
      <c r="AP240">
        <v>1</v>
      </c>
      <c r="AQ240">
        <v>1</v>
      </c>
      <c r="AR240">
        <v>0</v>
      </c>
      <c r="AS240" t="s">
        <v>3</v>
      </c>
      <c r="AT240">
        <v>19.239999999999998</v>
      </c>
      <c r="AU240" t="s">
        <v>3</v>
      </c>
      <c r="AV240">
        <v>1</v>
      </c>
      <c r="AW240">
        <v>2</v>
      </c>
      <c r="AX240">
        <v>65171701</v>
      </c>
      <c r="AY240">
        <v>1</v>
      </c>
      <c r="AZ240">
        <v>0</v>
      </c>
      <c r="BA240">
        <v>242</v>
      </c>
      <c r="BB240">
        <v>1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10846.742399999999</v>
      </c>
      <c r="BN240">
        <v>19.239999999999998</v>
      </c>
      <c r="BO240">
        <v>0</v>
      </c>
      <c r="BP240">
        <v>1</v>
      </c>
      <c r="BQ240">
        <v>0</v>
      </c>
      <c r="BR240">
        <v>0</v>
      </c>
      <c r="BS240">
        <v>0</v>
      </c>
      <c r="BT240">
        <v>10846.742399999999</v>
      </c>
      <c r="BU240">
        <v>19.239999999999998</v>
      </c>
      <c r="BV240">
        <v>0</v>
      </c>
      <c r="BW240">
        <v>1</v>
      </c>
      <c r="CU240">
        <f>ROUND(AT240*Source!I167*AH240*AL240,2)</f>
        <v>108.47</v>
      </c>
      <c r="CV240">
        <f>ROUND(Y240*Source!I167,7)</f>
        <v>0.19239999999999999</v>
      </c>
      <c r="CW240">
        <v>0</v>
      </c>
      <c r="CX240">
        <f>ROUND(Y240*Source!I167,7)</f>
        <v>0.19239999999999999</v>
      </c>
      <c r="CY240">
        <f>AD240</f>
        <v>563.76</v>
      </c>
      <c r="CZ240">
        <f>AH240</f>
        <v>563.76</v>
      </c>
      <c r="DA240">
        <f>AL240</f>
        <v>1</v>
      </c>
      <c r="DB240">
        <f t="shared" si="85"/>
        <v>10846.74</v>
      </c>
      <c r="DC240">
        <f t="shared" si="86"/>
        <v>0</v>
      </c>
      <c r="DD240" t="s">
        <v>3</v>
      </c>
      <c r="DE240" t="s">
        <v>3</v>
      </c>
      <c r="DF240">
        <f t="shared" si="88"/>
        <v>0</v>
      </c>
      <c r="DG240">
        <f t="shared" si="87"/>
        <v>0</v>
      </c>
      <c r="DH240">
        <f t="shared" si="71"/>
        <v>0</v>
      </c>
      <c r="DI240">
        <f t="shared" si="77"/>
        <v>108.47</v>
      </c>
      <c r="DJ240">
        <f>DI240</f>
        <v>108.47</v>
      </c>
      <c r="DK240">
        <v>1</v>
      </c>
      <c r="DL240" t="s">
        <v>3</v>
      </c>
      <c r="DM240">
        <v>0</v>
      </c>
      <c r="DN240" t="s">
        <v>3</v>
      </c>
      <c r="DO240">
        <v>0</v>
      </c>
    </row>
    <row r="241" spans="1:119" x14ac:dyDescent="0.2">
      <c r="A241">
        <f>ROW(Source!A167)</f>
        <v>167</v>
      </c>
      <c r="B241">
        <v>65170852</v>
      </c>
      <c r="C241">
        <v>65171687</v>
      </c>
      <c r="D241">
        <v>37064876</v>
      </c>
      <c r="E241">
        <v>108</v>
      </c>
      <c r="F241">
        <v>1</v>
      </c>
      <c r="G241">
        <v>1</v>
      </c>
      <c r="H241">
        <v>1</v>
      </c>
      <c r="I241" t="s">
        <v>510</v>
      </c>
      <c r="J241" t="s">
        <v>3</v>
      </c>
      <c r="K241" t="s">
        <v>511</v>
      </c>
      <c r="L241">
        <v>1191</v>
      </c>
      <c r="N241">
        <v>1013</v>
      </c>
      <c r="O241" t="s">
        <v>509</v>
      </c>
      <c r="P241" t="s">
        <v>509</v>
      </c>
      <c r="Q241">
        <v>1</v>
      </c>
      <c r="W241">
        <v>0</v>
      </c>
      <c r="X241">
        <v>-1417349443</v>
      </c>
      <c r="Y241">
        <f t="shared" si="84"/>
        <v>22.24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1</v>
      </c>
      <c r="AJ241">
        <v>1</v>
      </c>
      <c r="AK241">
        <v>1</v>
      </c>
      <c r="AL241">
        <v>1</v>
      </c>
      <c r="AM241">
        <v>-2</v>
      </c>
      <c r="AN241">
        <v>0</v>
      </c>
      <c r="AO241">
        <v>0</v>
      </c>
      <c r="AP241">
        <v>1</v>
      </c>
      <c r="AQ241">
        <v>1</v>
      </c>
      <c r="AR241">
        <v>0</v>
      </c>
      <c r="AS241" t="s">
        <v>3</v>
      </c>
      <c r="AT241">
        <v>22.24</v>
      </c>
      <c r="AU241" t="s">
        <v>3</v>
      </c>
      <c r="AV241">
        <v>2</v>
      </c>
      <c r="AW241">
        <v>2</v>
      </c>
      <c r="AX241">
        <v>65171702</v>
      </c>
      <c r="AY241">
        <v>1</v>
      </c>
      <c r="AZ241">
        <v>0</v>
      </c>
      <c r="BA241">
        <v>243</v>
      </c>
      <c r="BB241">
        <v>1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V241">
        <v>0</v>
      </c>
      <c r="CW241">
        <v>0</v>
      </c>
      <c r="CX241">
        <f>ROUND(Y241*Source!I167,7)</f>
        <v>0.22239999999999999</v>
      </c>
      <c r="CY241">
        <f>AD241</f>
        <v>0</v>
      </c>
      <c r="CZ241">
        <f>AH241</f>
        <v>0</v>
      </c>
      <c r="DA241">
        <f>AL241</f>
        <v>1</v>
      </c>
      <c r="DB241">
        <f t="shared" si="85"/>
        <v>0</v>
      </c>
      <c r="DC241">
        <f t="shared" si="86"/>
        <v>0</v>
      </c>
      <c r="DD241" t="s">
        <v>3</v>
      </c>
      <c r="DE241" t="s">
        <v>3</v>
      </c>
      <c r="DF241">
        <f t="shared" si="88"/>
        <v>0</v>
      </c>
      <c r="DG241">
        <f t="shared" si="87"/>
        <v>0</v>
      </c>
      <c r="DH241">
        <f t="shared" si="71"/>
        <v>0</v>
      </c>
      <c r="DI241">
        <f t="shared" si="77"/>
        <v>0</v>
      </c>
      <c r="DJ241">
        <f>DI241</f>
        <v>0</v>
      </c>
      <c r="DK241">
        <v>0</v>
      </c>
      <c r="DL241" t="s">
        <v>3</v>
      </c>
      <c r="DM241">
        <v>0</v>
      </c>
      <c r="DN241" t="s">
        <v>3</v>
      </c>
      <c r="DO241">
        <v>0</v>
      </c>
    </row>
    <row r="242" spans="1:119" x14ac:dyDescent="0.2">
      <c r="A242">
        <f>ROW(Source!A167)</f>
        <v>167</v>
      </c>
      <c r="B242">
        <v>65170852</v>
      </c>
      <c r="C242">
        <v>65171687</v>
      </c>
      <c r="D242">
        <v>56571417</v>
      </c>
      <c r="E242">
        <v>1</v>
      </c>
      <c r="F242">
        <v>1</v>
      </c>
      <c r="G242">
        <v>1</v>
      </c>
      <c r="H242">
        <v>2</v>
      </c>
      <c r="I242" t="s">
        <v>512</v>
      </c>
      <c r="J242" t="s">
        <v>513</v>
      </c>
      <c r="K242" t="s">
        <v>514</v>
      </c>
      <c r="L242">
        <v>1368</v>
      </c>
      <c r="N242">
        <v>1011</v>
      </c>
      <c r="O242" t="s">
        <v>515</v>
      </c>
      <c r="P242" t="s">
        <v>515</v>
      </c>
      <c r="Q242">
        <v>1</v>
      </c>
      <c r="W242">
        <v>0</v>
      </c>
      <c r="X242">
        <v>-848025172</v>
      </c>
      <c r="Y242">
        <f t="shared" si="84"/>
        <v>0.64</v>
      </c>
      <c r="AA242">
        <v>0</v>
      </c>
      <c r="AB242">
        <v>1551.19</v>
      </c>
      <c r="AC242">
        <v>658.94</v>
      </c>
      <c r="AD242">
        <v>0</v>
      </c>
      <c r="AE242">
        <v>0</v>
      </c>
      <c r="AF242">
        <v>1551.19</v>
      </c>
      <c r="AG242">
        <v>658.94</v>
      </c>
      <c r="AH242">
        <v>0</v>
      </c>
      <c r="AI242">
        <v>1</v>
      </c>
      <c r="AJ242">
        <v>1</v>
      </c>
      <c r="AK242">
        <v>1</v>
      </c>
      <c r="AL242">
        <v>1</v>
      </c>
      <c r="AM242">
        <v>-2</v>
      </c>
      <c r="AN242">
        <v>0</v>
      </c>
      <c r="AO242">
        <v>0</v>
      </c>
      <c r="AP242">
        <v>1</v>
      </c>
      <c r="AQ242">
        <v>1</v>
      </c>
      <c r="AR242">
        <v>0</v>
      </c>
      <c r="AS242" t="s">
        <v>3</v>
      </c>
      <c r="AT242">
        <v>0.64</v>
      </c>
      <c r="AU242" t="s">
        <v>3</v>
      </c>
      <c r="AV242">
        <v>1</v>
      </c>
      <c r="AW242">
        <v>2</v>
      </c>
      <c r="AX242">
        <v>65171703</v>
      </c>
      <c r="AY242">
        <v>1</v>
      </c>
      <c r="AZ242">
        <v>0</v>
      </c>
      <c r="BA242">
        <v>244</v>
      </c>
      <c r="BB242">
        <v>1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992.76160000000004</v>
      </c>
      <c r="BL242">
        <v>421.72160000000002</v>
      </c>
      <c r="BM242">
        <v>0</v>
      </c>
      <c r="BN242">
        <v>0</v>
      </c>
      <c r="BO242">
        <v>0.64</v>
      </c>
      <c r="BP242">
        <v>1</v>
      </c>
      <c r="BQ242">
        <v>0</v>
      </c>
      <c r="BR242">
        <v>992.76160000000004</v>
      </c>
      <c r="BS242">
        <v>421.72160000000002</v>
      </c>
      <c r="BT242">
        <v>0</v>
      </c>
      <c r="BU242">
        <v>0</v>
      </c>
      <c r="BV242">
        <v>0.64</v>
      </c>
      <c r="BW242">
        <v>1</v>
      </c>
      <c r="CV242">
        <v>0</v>
      </c>
      <c r="CW242">
        <f>ROUND(Y242*Source!I167*DO242,7)</f>
        <v>6.4000000000000003E-3</v>
      </c>
      <c r="CX242">
        <f>ROUND(Y242*Source!I167,7)</f>
        <v>6.4000000000000003E-3</v>
      </c>
      <c r="CY242">
        <f>AB242</f>
        <v>1551.19</v>
      </c>
      <c r="CZ242">
        <f>AF242</f>
        <v>1551.19</v>
      </c>
      <c r="DA242">
        <f>AJ242</f>
        <v>1</v>
      </c>
      <c r="DB242">
        <f t="shared" si="85"/>
        <v>992.76</v>
      </c>
      <c r="DC242">
        <f t="shared" si="86"/>
        <v>421.72</v>
      </c>
      <c r="DD242" t="s">
        <v>3</v>
      </c>
      <c r="DE242" t="s">
        <v>3</v>
      </c>
      <c r="DF242">
        <f t="shared" si="88"/>
        <v>0</v>
      </c>
      <c r="DG242">
        <f t="shared" si="87"/>
        <v>9.93</v>
      </c>
      <c r="DH242">
        <f t="shared" si="71"/>
        <v>4.22</v>
      </c>
      <c r="DI242">
        <f t="shared" si="77"/>
        <v>0</v>
      </c>
      <c r="DJ242">
        <f>DG242+DH242</f>
        <v>14.149999999999999</v>
      </c>
      <c r="DK242">
        <v>1</v>
      </c>
      <c r="DL242" t="s">
        <v>516</v>
      </c>
      <c r="DM242">
        <v>6</v>
      </c>
      <c r="DN242" t="s">
        <v>509</v>
      </c>
      <c r="DO242">
        <v>1</v>
      </c>
    </row>
    <row r="243" spans="1:119" x14ac:dyDescent="0.2">
      <c r="A243">
        <f>ROW(Source!A167)</f>
        <v>167</v>
      </c>
      <c r="B243">
        <v>65170852</v>
      </c>
      <c r="C243">
        <v>65171687</v>
      </c>
      <c r="D243">
        <v>56571637</v>
      </c>
      <c r="E243">
        <v>1</v>
      </c>
      <c r="F243">
        <v>1</v>
      </c>
      <c r="G243">
        <v>1</v>
      </c>
      <c r="H243">
        <v>2</v>
      </c>
      <c r="I243" t="s">
        <v>706</v>
      </c>
      <c r="J243" t="s">
        <v>707</v>
      </c>
      <c r="K243" t="s">
        <v>708</v>
      </c>
      <c r="L243">
        <v>1368</v>
      </c>
      <c r="N243">
        <v>1011</v>
      </c>
      <c r="O243" t="s">
        <v>515</v>
      </c>
      <c r="P243" t="s">
        <v>515</v>
      </c>
      <c r="Q243">
        <v>1</v>
      </c>
      <c r="W243">
        <v>0</v>
      </c>
      <c r="X243">
        <v>-1236030678</v>
      </c>
      <c r="Y243">
        <f t="shared" si="84"/>
        <v>2.4</v>
      </c>
      <c r="AA243">
        <v>0</v>
      </c>
      <c r="AB243">
        <v>15.12</v>
      </c>
      <c r="AC243">
        <v>0</v>
      </c>
      <c r="AD243">
        <v>0</v>
      </c>
      <c r="AE243">
        <v>0</v>
      </c>
      <c r="AF243">
        <v>15.12</v>
      </c>
      <c r="AG243">
        <v>0</v>
      </c>
      <c r="AH243">
        <v>0</v>
      </c>
      <c r="AI243">
        <v>1</v>
      </c>
      <c r="AJ243">
        <v>1</v>
      </c>
      <c r="AK243">
        <v>1</v>
      </c>
      <c r="AL243">
        <v>1</v>
      </c>
      <c r="AM243">
        <v>-2</v>
      </c>
      <c r="AN243">
        <v>0</v>
      </c>
      <c r="AO243">
        <v>0</v>
      </c>
      <c r="AP243">
        <v>1</v>
      </c>
      <c r="AQ243">
        <v>1</v>
      </c>
      <c r="AR243">
        <v>0</v>
      </c>
      <c r="AS243" t="s">
        <v>3</v>
      </c>
      <c r="AT243">
        <v>2.4</v>
      </c>
      <c r="AU243" t="s">
        <v>3</v>
      </c>
      <c r="AV243">
        <v>1</v>
      </c>
      <c r="AW243">
        <v>2</v>
      </c>
      <c r="AX243">
        <v>65171704</v>
      </c>
      <c r="AY243">
        <v>1</v>
      </c>
      <c r="AZ243">
        <v>0</v>
      </c>
      <c r="BA243">
        <v>245</v>
      </c>
      <c r="BB243">
        <v>1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36.287999999999997</v>
      </c>
      <c r="BL243">
        <v>0</v>
      </c>
      <c r="BM243">
        <v>0</v>
      </c>
      <c r="BN243">
        <v>0</v>
      </c>
      <c r="BO243">
        <v>0</v>
      </c>
      <c r="BP243">
        <v>1</v>
      </c>
      <c r="BQ243">
        <v>0</v>
      </c>
      <c r="BR243">
        <v>36.287999999999997</v>
      </c>
      <c r="BS243">
        <v>0</v>
      </c>
      <c r="BT243">
        <v>0</v>
      </c>
      <c r="BU243">
        <v>0</v>
      </c>
      <c r="BV243">
        <v>0</v>
      </c>
      <c r="BW243">
        <v>1</v>
      </c>
      <c r="CV243">
        <v>0</v>
      </c>
      <c r="CW243">
        <f>ROUND(Y243*Source!I167*DO243,7)</f>
        <v>0</v>
      </c>
      <c r="CX243">
        <f>ROUND(Y243*Source!I167,7)</f>
        <v>2.4E-2</v>
      </c>
      <c r="CY243">
        <f>AB243</f>
        <v>15.12</v>
      </c>
      <c r="CZ243">
        <f>AF243</f>
        <v>15.12</v>
      </c>
      <c r="DA243">
        <f>AJ243</f>
        <v>1</v>
      </c>
      <c r="DB243">
        <f t="shared" si="85"/>
        <v>36.29</v>
      </c>
      <c r="DC243">
        <f t="shared" si="86"/>
        <v>0</v>
      </c>
      <c r="DD243" t="s">
        <v>3</v>
      </c>
      <c r="DE243" t="s">
        <v>3</v>
      </c>
      <c r="DF243">
        <f t="shared" si="88"/>
        <v>0</v>
      </c>
      <c r="DG243">
        <f t="shared" si="87"/>
        <v>0.36</v>
      </c>
      <c r="DH243">
        <f t="shared" si="71"/>
        <v>0</v>
      </c>
      <c r="DI243">
        <f t="shared" si="77"/>
        <v>0</v>
      </c>
      <c r="DJ243">
        <f>DG243+DH243</f>
        <v>0.36</v>
      </c>
      <c r="DK243">
        <v>1</v>
      </c>
      <c r="DL243" t="s">
        <v>3</v>
      </c>
      <c r="DM243">
        <v>0</v>
      </c>
      <c r="DN243" t="s">
        <v>3</v>
      </c>
      <c r="DO243">
        <v>0</v>
      </c>
    </row>
    <row r="244" spans="1:119" x14ac:dyDescent="0.2">
      <c r="A244">
        <f>ROW(Source!A167)</f>
        <v>167</v>
      </c>
      <c r="B244">
        <v>65170852</v>
      </c>
      <c r="C244">
        <v>65171687</v>
      </c>
      <c r="D244">
        <v>56571702</v>
      </c>
      <c r="E244">
        <v>1</v>
      </c>
      <c r="F244">
        <v>1</v>
      </c>
      <c r="G244">
        <v>1</v>
      </c>
      <c r="H244">
        <v>2</v>
      </c>
      <c r="I244" t="s">
        <v>709</v>
      </c>
      <c r="J244" t="s">
        <v>710</v>
      </c>
      <c r="K244" t="s">
        <v>711</v>
      </c>
      <c r="L244">
        <v>1368</v>
      </c>
      <c r="N244">
        <v>1011</v>
      </c>
      <c r="O244" t="s">
        <v>515</v>
      </c>
      <c r="P244" t="s">
        <v>515</v>
      </c>
      <c r="Q244">
        <v>1</v>
      </c>
      <c r="W244">
        <v>0</v>
      </c>
      <c r="X244">
        <v>-1146903463</v>
      </c>
      <c r="Y244">
        <f t="shared" si="84"/>
        <v>18.68</v>
      </c>
      <c r="AA244">
        <v>0</v>
      </c>
      <c r="AB244">
        <v>471.55</v>
      </c>
      <c r="AC244">
        <v>490.55</v>
      </c>
      <c r="AD244">
        <v>0</v>
      </c>
      <c r="AE244">
        <v>0</v>
      </c>
      <c r="AF244">
        <v>346.73</v>
      </c>
      <c r="AG244">
        <v>490.55</v>
      </c>
      <c r="AH244">
        <v>0</v>
      </c>
      <c r="AI244">
        <v>1</v>
      </c>
      <c r="AJ244">
        <v>1.36</v>
      </c>
      <c r="AK244">
        <v>1</v>
      </c>
      <c r="AL244">
        <v>1</v>
      </c>
      <c r="AM244">
        <v>2</v>
      </c>
      <c r="AN244">
        <v>0</v>
      </c>
      <c r="AO244">
        <v>0</v>
      </c>
      <c r="AP244">
        <v>1</v>
      </c>
      <c r="AQ244">
        <v>1</v>
      </c>
      <c r="AR244">
        <v>0</v>
      </c>
      <c r="AS244" t="s">
        <v>3</v>
      </c>
      <c r="AT244">
        <v>18.68</v>
      </c>
      <c r="AU244" t="s">
        <v>3</v>
      </c>
      <c r="AV244">
        <v>1</v>
      </c>
      <c r="AW244">
        <v>2</v>
      </c>
      <c r="AX244">
        <v>65171705</v>
      </c>
      <c r="AY244">
        <v>1</v>
      </c>
      <c r="AZ244">
        <v>0</v>
      </c>
      <c r="BA244">
        <v>246</v>
      </c>
      <c r="BB244">
        <v>1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6476.9164000000001</v>
      </c>
      <c r="BL244">
        <v>9163.4740000000002</v>
      </c>
      <c r="BM244">
        <v>0</v>
      </c>
      <c r="BN244">
        <v>0</v>
      </c>
      <c r="BO244">
        <v>18.68</v>
      </c>
      <c r="BP244">
        <v>1</v>
      </c>
      <c r="BQ244">
        <v>0</v>
      </c>
      <c r="BR244">
        <v>6476.9164000000001</v>
      </c>
      <c r="BS244">
        <v>9163.4740000000002</v>
      </c>
      <c r="BT244">
        <v>0</v>
      </c>
      <c r="BU244">
        <v>0</v>
      </c>
      <c r="BV244">
        <v>18.68</v>
      </c>
      <c r="BW244">
        <v>1</v>
      </c>
      <c r="CV244">
        <v>0</v>
      </c>
      <c r="CW244">
        <f>ROUND(Y244*Source!I167*DO244,7)</f>
        <v>0.18679999999999999</v>
      </c>
      <c r="CX244">
        <f>ROUND(Y244*Source!I167,7)</f>
        <v>0.18679999999999999</v>
      </c>
      <c r="CY244">
        <f>AB244</f>
        <v>471.55</v>
      </c>
      <c r="CZ244">
        <f>AF244</f>
        <v>346.73</v>
      </c>
      <c r="DA244">
        <f>AJ244</f>
        <v>1.36</v>
      </c>
      <c r="DB244">
        <f t="shared" si="85"/>
        <v>6476.92</v>
      </c>
      <c r="DC244">
        <f t="shared" si="86"/>
        <v>9163.4699999999993</v>
      </c>
      <c r="DD244" t="s">
        <v>3</v>
      </c>
      <c r="DE244" t="s">
        <v>3</v>
      </c>
      <c r="DF244">
        <f t="shared" si="88"/>
        <v>0</v>
      </c>
      <c r="DG244">
        <f>ROUND(ROUND(AF244*AJ244,2)*CX244,2)</f>
        <v>88.09</v>
      </c>
      <c r="DH244">
        <f t="shared" si="71"/>
        <v>91.63</v>
      </c>
      <c r="DI244">
        <f t="shared" si="77"/>
        <v>0</v>
      </c>
      <c r="DJ244">
        <f>DG244+DH244</f>
        <v>179.72</v>
      </c>
      <c r="DK244">
        <v>0</v>
      </c>
      <c r="DL244" t="s">
        <v>523</v>
      </c>
      <c r="DM244">
        <v>4</v>
      </c>
      <c r="DN244" t="s">
        <v>509</v>
      </c>
      <c r="DO244">
        <v>1</v>
      </c>
    </row>
    <row r="245" spans="1:119" x14ac:dyDescent="0.2">
      <c r="A245">
        <f>ROW(Source!A167)</f>
        <v>167</v>
      </c>
      <c r="B245">
        <v>65170852</v>
      </c>
      <c r="C245">
        <v>65171687</v>
      </c>
      <c r="D245">
        <v>56572833</v>
      </c>
      <c r="E245">
        <v>1</v>
      </c>
      <c r="F245">
        <v>1</v>
      </c>
      <c r="G245">
        <v>1</v>
      </c>
      <c r="H245">
        <v>2</v>
      </c>
      <c r="I245" t="s">
        <v>520</v>
      </c>
      <c r="J245" t="s">
        <v>521</v>
      </c>
      <c r="K245" t="s">
        <v>522</v>
      </c>
      <c r="L245">
        <v>1368</v>
      </c>
      <c r="N245">
        <v>1011</v>
      </c>
      <c r="O245" t="s">
        <v>515</v>
      </c>
      <c r="P245" t="s">
        <v>515</v>
      </c>
      <c r="Q245">
        <v>1</v>
      </c>
      <c r="W245">
        <v>0</v>
      </c>
      <c r="X245">
        <v>1230426758</v>
      </c>
      <c r="Y245">
        <f t="shared" si="84"/>
        <v>0.52</v>
      </c>
      <c r="AA245">
        <v>0</v>
      </c>
      <c r="AB245">
        <v>578.28</v>
      </c>
      <c r="AC245">
        <v>490.55</v>
      </c>
      <c r="AD245">
        <v>0</v>
      </c>
      <c r="AE245">
        <v>0</v>
      </c>
      <c r="AF245">
        <v>477.92</v>
      </c>
      <c r="AG245">
        <v>490.55</v>
      </c>
      <c r="AH245">
        <v>0</v>
      </c>
      <c r="AI245">
        <v>1</v>
      </c>
      <c r="AJ245">
        <v>1.21</v>
      </c>
      <c r="AK245">
        <v>1</v>
      </c>
      <c r="AL245">
        <v>1</v>
      </c>
      <c r="AM245">
        <v>2</v>
      </c>
      <c r="AN245">
        <v>0</v>
      </c>
      <c r="AO245">
        <v>0</v>
      </c>
      <c r="AP245">
        <v>1</v>
      </c>
      <c r="AQ245">
        <v>1</v>
      </c>
      <c r="AR245">
        <v>0</v>
      </c>
      <c r="AS245" t="s">
        <v>3</v>
      </c>
      <c r="AT245">
        <v>0.52</v>
      </c>
      <c r="AU245" t="s">
        <v>3</v>
      </c>
      <c r="AV245">
        <v>1</v>
      </c>
      <c r="AW245">
        <v>2</v>
      </c>
      <c r="AX245">
        <v>65171706</v>
      </c>
      <c r="AY245">
        <v>1</v>
      </c>
      <c r="AZ245">
        <v>0</v>
      </c>
      <c r="BA245">
        <v>247</v>
      </c>
      <c r="BB245">
        <v>1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248.51840000000001</v>
      </c>
      <c r="BL245">
        <v>255.08600000000001</v>
      </c>
      <c r="BM245">
        <v>0</v>
      </c>
      <c r="BN245">
        <v>0</v>
      </c>
      <c r="BO245">
        <v>0.52</v>
      </c>
      <c r="BP245">
        <v>1</v>
      </c>
      <c r="BQ245">
        <v>0</v>
      </c>
      <c r="BR245">
        <v>248.51840000000001</v>
      </c>
      <c r="BS245">
        <v>255.08600000000001</v>
      </c>
      <c r="BT245">
        <v>0</v>
      </c>
      <c r="BU245">
        <v>0</v>
      </c>
      <c r="BV245">
        <v>0.52</v>
      </c>
      <c r="BW245">
        <v>1</v>
      </c>
      <c r="CV245">
        <v>0</v>
      </c>
      <c r="CW245">
        <f>ROUND(Y245*Source!I167*DO245,7)</f>
        <v>5.1999999999999998E-3</v>
      </c>
      <c r="CX245">
        <f>ROUND(Y245*Source!I167,7)</f>
        <v>5.1999999999999998E-3</v>
      </c>
      <c r="CY245">
        <f>AB245</f>
        <v>578.28</v>
      </c>
      <c r="CZ245">
        <f>AF245</f>
        <v>477.92</v>
      </c>
      <c r="DA245">
        <f>AJ245</f>
        <v>1.21</v>
      </c>
      <c r="DB245">
        <f t="shared" si="85"/>
        <v>248.52</v>
      </c>
      <c r="DC245">
        <f t="shared" si="86"/>
        <v>255.09</v>
      </c>
      <c r="DD245" t="s">
        <v>3</v>
      </c>
      <c r="DE245" t="s">
        <v>3</v>
      </c>
      <c r="DF245">
        <f t="shared" si="88"/>
        <v>0</v>
      </c>
      <c r="DG245">
        <f>ROUND(ROUND(AF245*AJ245,2)*CX245,2)</f>
        <v>3.01</v>
      </c>
      <c r="DH245">
        <f t="shared" si="71"/>
        <v>2.5499999999999998</v>
      </c>
      <c r="DI245">
        <f t="shared" si="77"/>
        <v>0</v>
      </c>
      <c r="DJ245">
        <f>DG245+DH245</f>
        <v>5.56</v>
      </c>
      <c r="DK245">
        <v>0</v>
      </c>
      <c r="DL245" t="s">
        <v>523</v>
      </c>
      <c r="DM245">
        <v>4</v>
      </c>
      <c r="DN245" t="s">
        <v>509</v>
      </c>
      <c r="DO245">
        <v>1</v>
      </c>
    </row>
    <row r="246" spans="1:119" x14ac:dyDescent="0.2">
      <c r="A246">
        <f>ROW(Source!A167)</f>
        <v>167</v>
      </c>
      <c r="B246">
        <v>65170852</v>
      </c>
      <c r="C246">
        <v>65171687</v>
      </c>
      <c r="D246">
        <v>56573157</v>
      </c>
      <c r="E246">
        <v>1</v>
      </c>
      <c r="F246">
        <v>1</v>
      </c>
      <c r="G246">
        <v>1</v>
      </c>
      <c r="H246">
        <v>2</v>
      </c>
      <c r="I246" t="s">
        <v>712</v>
      </c>
      <c r="J246" t="s">
        <v>713</v>
      </c>
      <c r="K246" t="s">
        <v>714</v>
      </c>
      <c r="L246">
        <v>1368</v>
      </c>
      <c r="N246">
        <v>1011</v>
      </c>
      <c r="O246" t="s">
        <v>515</v>
      </c>
      <c r="P246" t="s">
        <v>515</v>
      </c>
      <c r="Q246">
        <v>1</v>
      </c>
      <c r="W246">
        <v>0</v>
      </c>
      <c r="X246">
        <v>1608197590</v>
      </c>
      <c r="Y246">
        <f t="shared" si="84"/>
        <v>2.4</v>
      </c>
      <c r="AA246">
        <v>0</v>
      </c>
      <c r="AB246">
        <v>176.5</v>
      </c>
      <c r="AC246">
        <v>490.55</v>
      </c>
      <c r="AD246">
        <v>0</v>
      </c>
      <c r="AE246">
        <v>0</v>
      </c>
      <c r="AF246">
        <v>176.5</v>
      </c>
      <c r="AG246">
        <v>490.55</v>
      </c>
      <c r="AH246">
        <v>0</v>
      </c>
      <c r="AI246">
        <v>1</v>
      </c>
      <c r="AJ246">
        <v>1</v>
      </c>
      <c r="AK246">
        <v>1</v>
      </c>
      <c r="AL246">
        <v>1</v>
      </c>
      <c r="AM246">
        <v>-2</v>
      </c>
      <c r="AN246">
        <v>0</v>
      </c>
      <c r="AO246">
        <v>0</v>
      </c>
      <c r="AP246">
        <v>1</v>
      </c>
      <c r="AQ246">
        <v>1</v>
      </c>
      <c r="AR246">
        <v>0</v>
      </c>
      <c r="AS246" t="s">
        <v>3</v>
      </c>
      <c r="AT246">
        <v>2.4</v>
      </c>
      <c r="AU246" t="s">
        <v>3</v>
      </c>
      <c r="AV246">
        <v>1</v>
      </c>
      <c r="AW246">
        <v>2</v>
      </c>
      <c r="AX246">
        <v>65171707</v>
      </c>
      <c r="AY246">
        <v>1</v>
      </c>
      <c r="AZ246">
        <v>0</v>
      </c>
      <c r="BA246">
        <v>248</v>
      </c>
      <c r="BB246">
        <v>1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423.59999999999997</v>
      </c>
      <c r="BL246">
        <v>1177.32</v>
      </c>
      <c r="BM246">
        <v>0</v>
      </c>
      <c r="BN246">
        <v>0</v>
      </c>
      <c r="BO246">
        <v>2.4</v>
      </c>
      <c r="BP246">
        <v>1</v>
      </c>
      <c r="BQ246">
        <v>0</v>
      </c>
      <c r="BR246">
        <v>423.59999999999997</v>
      </c>
      <c r="BS246">
        <v>1177.32</v>
      </c>
      <c r="BT246">
        <v>0</v>
      </c>
      <c r="BU246">
        <v>0</v>
      </c>
      <c r="BV246">
        <v>2.4</v>
      </c>
      <c r="BW246">
        <v>1</v>
      </c>
      <c r="CV246">
        <v>0</v>
      </c>
      <c r="CW246">
        <f>ROUND(Y246*Source!I167*DO246,7)</f>
        <v>2.4E-2</v>
      </c>
      <c r="CX246">
        <f>ROUND(Y246*Source!I167,7)</f>
        <v>2.4E-2</v>
      </c>
      <c r="CY246">
        <f>AB246</f>
        <v>176.5</v>
      </c>
      <c r="CZ246">
        <f>AF246</f>
        <v>176.5</v>
      </c>
      <c r="DA246">
        <f>AJ246</f>
        <v>1</v>
      </c>
      <c r="DB246">
        <f t="shared" si="85"/>
        <v>423.6</v>
      </c>
      <c r="DC246">
        <f t="shared" si="86"/>
        <v>1177.32</v>
      </c>
      <c r="DD246" t="s">
        <v>3</v>
      </c>
      <c r="DE246" t="s">
        <v>3</v>
      </c>
      <c r="DF246">
        <f t="shared" si="88"/>
        <v>0</v>
      </c>
      <c r="DG246">
        <f>ROUND(ROUND(AF246,2)*CX246,2)</f>
        <v>4.24</v>
      </c>
      <c r="DH246">
        <f t="shared" si="71"/>
        <v>11.77</v>
      </c>
      <c r="DI246">
        <f t="shared" si="77"/>
        <v>0</v>
      </c>
      <c r="DJ246">
        <f>DG246+DH246</f>
        <v>16.009999999999998</v>
      </c>
      <c r="DK246">
        <v>1</v>
      </c>
      <c r="DL246" t="s">
        <v>523</v>
      </c>
      <c r="DM246">
        <v>4</v>
      </c>
      <c r="DN246" t="s">
        <v>509</v>
      </c>
      <c r="DO246">
        <v>1</v>
      </c>
    </row>
    <row r="247" spans="1:119" x14ac:dyDescent="0.2">
      <c r="A247">
        <f>ROW(Source!A168)</f>
        <v>168</v>
      </c>
      <c r="B247">
        <v>65170852</v>
      </c>
      <c r="C247">
        <v>65171711</v>
      </c>
      <c r="D247">
        <v>37071037</v>
      </c>
      <c r="E247">
        <v>108</v>
      </c>
      <c r="F247">
        <v>1</v>
      </c>
      <c r="G247">
        <v>1</v>
      </c>
      <c r="H247">
        <v>1</v>
      </c>
      <c r="I247" t="s">
        <v>653</v>
      </c>
      <c r="J247" t="s">
        <v>3</v>
      </c>
      <c r="K247" t="s">
        <v>654</v>
      </c>
      <c r="L247">
        <v>1191</v>
      </c>
      <c r="N247">
        <v>1013</v>
      </c>
      <c r="O247" t="s">
        <v>509</v>
      </c>
      <c r="P247" t="s">
        <v>509</v>
      </c>
      <c r="Q247">
        <v>1</v>
      </c>
      <c r="W247">
        <v>0</v>
      </c>
      <c r="X247">
        <v>-1111239348</v>
      </c>
      <c r="Y247">
        <f t="shared" si="84"/>
        <v>0.4</v>
      </c>
      <c r="AA247">
        <v>0</v>
      </c>
      <c r="AB247">
        <v>0</v>
      </c>
      <c r="AC247">
        <v>0</v>
      </c>
      <c r="AD247">
        <v>490.55</v>
      </c>
      <c r="AE247">
        <v>0</v>
      </c>
      <c r="AF247">
        <v>0</v>
      </c>
      <c r="AG247">
        <v>0</v>
      </c>
      <c r="AH247">
        <v>490.55</v>
      </c>
      <c r="AI247">
        <v>1</v>
      </c>
      <c r="AJ247">
        <v>1</v>
      </c>
      <c r="AK247">
        <v>1</v>
      </c>
      <c r="AL247">
        <v>1</v>
      </c>
      <c r="AM247">
        <v>-2</v>
      </c>
      <c r="AN247">
        <v>0</v>
      </c>
      <c r="AO247">
        <v>0</v>
      </c>
      <c r="AP247">
        <v>1</v>
      </c>
      <c r="AQ247">
        <v>1</v>
      </c>
      <c r="AR247">
        <v>0</v>
      </c>
      <c r="AS247" t="s">
        <v>3</v>
      </c>
      <c r="AT247">
        <v>0.4</v>
      </c>
      <c r="AU247" t="s">
        <v>3</v>
      </c>
      <c r="AV247">
        <v>1</v>
      </c>
      <c r="AW247">
        <v>2</v>
      </c>
      <c r="AX247">
        <v>65171717</v>
      </c>
      <c r="AY247">
        <v>1</v>
      </c>
      <c r="AZ247">
        <v>0</v>
      </c>
      <c r="BA247">
        <v>252</v>
      </c>
      <c r="BB247">
        <v>1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196.22000000000003</v>
      </c>
      <c r="BN247">
        <v>0.4</v>
      </c>
      <c r="BO247">
        <v>0</v>
      </c>
      <c r="BP247">
        <v>1</v>
      </c>
      <c r="BQ247">
        <v>0</v>
      </c>
      <c r="BR247">
        <v>0</v>
      </c>
      <c r="BS247">
        <v>0</v>
      </c>
      <c r="BT247">
        <v>196.22000000000003</v>
      </c>
      <c r="BU247">
        <v>0.4</v>
      </c>
      <c r="BV247">
        <v>0</v>
      </c>
      <c r="BW247">
        <v>1</v>
      </c>
      <c r="CU247">
        <f>ROUND(AT247*Source!I168*AH247*AL247,2)</f>
        <v>588.66</v>
      </c>
      <c r="CV247">
        <f>ROUND(Y247*Source!I168,7)</f>
        <v>1.2</v>
      </c>
      <c r="CW247">
        <v>0</v>
      </c>
      <c r="CX247">
        <f>ROUND(Y247*Source!I168,7)</f>
        <v>1.2</v>
      </c>
      <c r="CY247">
        <f>AD247</f>
        <v>490.55</v>
      </c>
      <c r="CZ247">
        <f>AH247</f>
        <v>490.55</v>
      </c>
      <c r="DA247">
        <f>AL247</f>
        <v>1</v>
      </c>
      <c r="DB247">
        <f t="shared" si="85"/>
        <v>196.22</v>
      </c>
      <c r="DC247">
        <f t="shared" si="86"/>
        <v>0</v>
      </c>
      <c r="DD247" t="s">
        <v>3</v>
      </c>
      <c r="DE247" t="s">
        <v>3</v>
      </c>
      <c r="DF247">
        <f t="shared" si="88"/>
        <v>0</v>
      </c>
      <c r="DG247">
        <f>ROUND(ROUND(AF247,2)*CX247,2)</f>
        <v>0</v>
      </c>
      <c r="DH247">
        <f t="shared" si="71"/>
        <v>0</v>
      </c>
      <c r="DI247">
        <f t="shared" si="77"/>
        <v>588.66</v>
      </c>
      <c r="DJ247">
        <f>DI247</f>
        <v>588.66</v>
      </c>
      <c r="DK247">
        <v>1</v>
      </c>
      <c r="DL247" t="s">
        <v>3</v>
      </c>
      <c r="DM247">
        <v>0</v>
      </c>
      <c r="DN247" t="s">
        <v>3</v>
      </c>
      <c r="DO247">
        <v>0</v>
      </c>
    </row>
    <row r="248" spans="1:119" x14ac:dyDescent="0.2">
      <c r="A248">
        <f>ROW(Source!A168)</f>
        <v>168</v>
      </c>
      <c r="B248">
        <v>65170852</v>
      </c>
      <c r="C248">
        <v>65171711</v>
      </c>
      <c r="D248">
        <v>37064876</v>
      </c>
      <c r="E248">
        <v>108</v>
      </c>
      <c r="F248">
        <v>1</v>
      </c>
      <c r="G248">
        <v>1</v>
      </c>
      <c r="H248">
        <v>1</v>
      </c>
      <c r="I248" t="s">
        <v>510</v>
      </c>
      <c r="J248" t="s">
        <v>3</v>
      </c>
      <c r="K248" t="s">
        <v>511</v>
      </c>
      <c r="L248">
        <v>1191</v>
      </c>
      <c r="N248">
        <v>1013</v>
      </c>
      <c r="O248" t="s">
        <v>509</v>
      </c>
      <c r="P248" t="s">
        <v>509</v>
      </c>
      <c r="Q248">
        <v>1</v>
      </c>
      <c r="W248">
        <v>0</v>
      </c>
      <c r="X248">
        <v>-1417349443</v>
      </c>
      <c r="Y248">
        <f t="shared" si="84"/>
        <v>0.01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1</v>
      </c>
      <c r="AJ248">
        <v>1</v>
      </c>
      <c r="AK248">
        <v>1</v>
      </c>
      <c r="AL248">
        <v>1</v>
      </c>
      <c r="AM248">
        <v>-2</v>
      </c>
      <c r="AN248">
        <v>0</v>
      </c>
      <c r="AO248">
        <v>0</v>
      </c>
      <c r="AP248">
        <v>1</v>
      </c>
      <c r="AQ248">
        <v>1</v>
      </c>
      <c r="AR248">
        <v>0</v>
      </c>
      <c r="AS248" t="s">
        <v>3</v>
      </c>
      <c r="AT248">
        <v>0.01</v>
      </c>
      <c r="AU248" t="s">
        <v>3</v>
      </c>
      <c r="AV248">
        <v>2</v>
      </c>
      <c r="AW248">
        <v>2</v>
      </c>
      <c r="AX248">
        <v>65171718</v>
      </c>
      <c r="AY248">
        <v>1</v>
      </c>
      <c r="AZ248">
        <v>0</v>
      </c>
      <c r="BA248">
        <v>253</v>
      </c>
      <c r="BB248">
        <v>1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V248">
        <v>0</v>
      </c>
      <c r="CW248">
        <v>0</v>
      </c>
      <c r="CX248">
        <f>ROUND(Y248*Source!I168,7)</f>
        <v>0.03</v>
      </c>
      <c r="CY248">
        <f>AD248</f>
        <v>0</v>
      </c>
      <c r="CZ248">
        <f>AH248</f>
        <v>0</v>
      </c>
      <c r="DA248">
        <f>AL248</f>
        <v>1</v>
      </c>
      <c r="DB248">
        <f t="shared" si="85"/>
        <v>0</v>
      </c>
      <c r="DC248">
        <f t="shared" si="86"/>
        <v>0</v>
      </c>
      <c r="DD248" t="s">
        <v>3</v>
      </c>
      <c r="DE248" t="s">
        <v>3</v>
      </c>
      <c r="DF248">
        <f t="shared" si="88"/>
        <v>0</v>
      </c>
      <c r="DG248">
        <f>ROUND(ROUND(AF248,2)*CX248,2)</f>
        <v>0</v>
      </c>
      <c r="DH248">
        <f t="shared" si="71"/>
        <v>0</v>
      </c>
      <c r="DI248">
        <f t="shared" si="77"/>
        <v>0</v>
      </c>
      <c r="DJ248">
        <f>DI248</f>
        <v>0</v>
      </c>
      <c r="DK248">
        <v>0</v>
      </c>
      <c r="DL248" t="s">
        <v>3</v>
      </c>
      <c r="DM248">
        <v>0</v>
      </c>
      <c r="DN248" t="s">
        <v>3</v>
      </c>
      <c r="DO248">
        <v>0</v>
      </c>
    </row>
    <row r="249" spans="1:119" x14ac:dyDescent="0.2">
      <c r="A249">
        <f>ROW(Source!A168)</f>
        <v>168</v>
      </c>
      <c r="B249">
        <v>65170852</v>
      </c>
      <c r="C249">
        <v>65171711</v>
      </c>
      <c r="D249">
        <v>56571417</v>
      </c>
      <c r="E249">
        <v>1</v>
      </c>
      <c r="F249">
        <v>1</v>
      </c>
      <c r="G249">
        <v>1</v>
      </c>
      <c r="H249">
        <v>2</v>
      </c>
      <c r="I249" t="s">
        <v>512</v>
      </c>
      <c r="J249" t="s">
        <v>513</v>
      </c>
      <c r="K249" t="s">
        <v>514</v>
      </c>
      <c r="L249">
        <v>1368</v>
      </c>
      <c r="N249">
        <v>1011</v>
      </c>
      <c r="O249" t="s">
        <v>515</v>
      </c>
      <c r="P249" t="s">
        <v>515</v>
      </c>
      <c r="Q249">
        <v>1</v>
      </c>
      <c r="W249">
        <v>0</v>
      </c>
      <c r="X249">
        <v>-848025172</v>
      </c>
      <c r="Y249">
        <f t="shared" si="84"/>
        <v>7.0000000000000001E-3</v>
      </c>
      <c r="AA249">
        <v>0</v>
      </c>
      <c r="AB249">
        <v>1551.19</v>
      </c>
      <c r="AC249">
        <v>658.94</v>
      </c>
      <c r="AD249">
        <v>0</v>
      </c>
      <c r="AE249">
        <v>0</v>
      </c>
      <c r="AF249">
        <v>1551.19</v>
      </c>
      <c r="AG249">
        <v>658.94</v>
      </c>
      <c r="AH249">
        <v>0</v>
      </c>
      <c r="AI249">
        <v>1</v>
      </c>
      <c r="AJ249">
        <v>1</v>
      </c>
      <c r="AK249">
        <v>1</v>
      </c>
      <c r="AL249">
        <v>1</v>
      </c>
      <c r="AM249">
        <v>-2</v>
      </c>
      <c r="AN249">
        <v>0</v>
      </c>
      <c r="AO249">
        <v>0</v>
      </c>
      <c r="AP249">
        <v>1</v>
      </c>
      <c r="AQ249">
        <v>1</v>
      </c>
      <c r="AR249">
        <v>0</v>
      </c>
      <c r="AS249" t="s">
        <v>3</v>
      </c>
      <c r="AT249">
        <v>7.0000000000000001E-3</v>
      </c>
      <c r="AU249" t="s">
        <v>3</v>
      </c>
      <c r="AV249">
        <v>1</v>
      </c>
      <c r="AW249">
        <v>2</v>
      </c>
      <c r="AX249">
        <v>65171719</v>
      </c>
      <c r="AY249">
        <v>1</v>
      </c>
      <c r="AZ249">
        <v>0</v>
      </c>
      <c r="BA249">
        <v>254</v>
      </c>
      <c r="BB249">
        <v>1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10.85833</v>
      </c>
      <c r="BL249">
        <v>4.6125800000000003</v>
      </c>
      <c r="BM249">
        <v>0</v>
      </c>
      <c r="BN249">
        <v>0</v>
      </c>
      <c r="BO249">
        <v>7.0000000000000001E-3</v>
      </c>
      <c r="BP249">
        <v>1</v>
      </c>
      <c r="BQ249">
        <v>0</v>
      </c>
      <c r="BR249">
        <v>10.85833</v>
      </c>
      <c r="BS249">
        <v>4.6125800000000003</v>
      </c>
      <c r="BT249">
        <v>0</v>
      </c>
      <c r="BU249">
        <v>0</v>
      </c>
      <c r="BV249">
        <v>7.0000000000000001E-3</v>
      </c>
      <c r="BW249">
        <v>1</v>
      </c>
      <c r="CV249">
        <v>0</v>
      </c>
      <c r="CW249">
        <f>ROUND(Y249*Source!I168*DO249,7)</f>
        <v>2.1000000000000001E-2</v>
      </c>
      <c r="CX249">
        <f>ROUND(Y249*Source!I168,7)</f>
        <v>2.1000000000000001E-2</v>
      </c>
      <c r="CY249">
        <f>AB249</f>
        <v>1551.19</v>
      </c>
      <c r="CZ249">
        <f>AF249</f>
        <v>1551.19</v>
      </c>
      <c r="DA249">
        <f>AJ249</f>
        <v>1</v>
      </c>
      <c r="DB249">
        <f t="shared" si="85"/>
        <v>10.86</v>
      </c>
      <c r="DC249">
        <f t="shared" si="86"/>
        <v>4.6100000000000003</v>
      </c>
      <c r="DD249" t="s">
        <v>3</v>
      </c>
      <c r="DE249" t="s">
        <v>3</v>
      </c>
      <c r="DF249">
        <f t="shared" si="88"/>
        <v>0</v>
      </c>
      <c r="DG249">
        <f>ROUND(ROUND(AF249,2)*CX249,2)</f>
        <v>32.57</v>
      </c>
      <c r="DH249">
        <f t="shared" si="71"/>
        <v>13.84</v>
      </c>
      <c r="DI249">
        <f t="shared" si="77"/>
        <v>0</v>
      </c>
      <c r="DJ249">
        <f>DG249+DH249</f>
        <v>46.41</v>
      </c>
      <c r="DK249">
        <v>1</v>
      </c>
      <c r="DL249" t="s">
        <v>516</v>
      </c>
      <c r="DM249">
        <v>6</v>
      </c>
      <c r="DN249" t="s">
        <v>509</v>
      </c>
      <c r="DO249">
        <v>1</v>
      </c>
    </row>
    <row r="250" spans="1:119" x14ac:dyDescent="0.2">
      <c r="A250">
        <f>ROW(Source!A168)</f>
        <v>168</v>
      </c>
      <c r="B250">
        <v>65170852</v>
      </c>
      <c r="C250">
        <v>65171711</v>
      </c>
      <c r="D250">
        <v>56572833</v>
      </c>
      <c r="E250">
        <v>1</v>
      </c>
      <c r="F250">
        <v>1</v>
      </c>
      <c r="G250">
        <v>1</v>
      </c>
      <c r="H250">
        <v>2</v>
      </c>
      <c r="I250" t="s">
        <v>520</v>
      </c>
      <c r="J250" t="s">
        <v>521</v>
      </c>
      <c r="K250" t="s">
        <v>522</v>
      </c>
      <c r="L250">
        <v>1368</v>
      </c>
      <c r="N250">
        <v>1011</v>
      </c>
      <c r="O250" t="s">
        <v>515</v>
      </c>
      <c r="P250" t="s">
        <v>515</v>
      </c>
      <c r="Q250">
        <v>1</v>
      </c>
      <c r="W250">
        <v>0</v>
      </c>
      <c r="X250">
        <v>1230426758</v>
      </c>
      <c r="Y250">
        <f t="shared" si="84"/>
        <v>7.0000000000000001E-3</v>
      </c>
      <c r="AA250">
        <v>0</v>
      </c>
      <c r="AB250">
        <v>578.28</v>
      </c>
      <c r="AC250">
        <v>490.55</v>
      </c>
      <c r="AD250">
        <v>0</v>
      </c>
      <c r="AE250">
        <v>0</v>
      </c>
      <c r="AF250">
        <v>477.92</v>
      </c>
      <c r="AG250">
        <v>490.55</v>
      </c>
      <c r="AH250">
        <v>0</v>
      </c>
      <c r="AI250">
        <v>1</v>
      </c>
      <c r="AJ250">
        <v>1.21</v>
      </c>
      <c r="AK250">
        <v>1</v>
      </c>
      <c r="AL250">
        <v>1</v>
      </c>
      <c r="AM250">
        <v>2</v>
      </c>
      <c r="AN250">
        <v>0</v>
      </c>
      <c r="AO250">
        <v>0</v>
      </c>
      <c r="AP250">
        <v>1</v>
      </c>
      <c r="AQ250">
        <v>1</v>
      </c>
      <c r="AR250">
        <v>0</v>
      </c>
      <c r="AS250" t="s">
        <v>3</v>
      </c>
      <c r="AT250">
        <v>7.0000000000000001E-3</v>
      </c>
      <c r="AU250" t="s">
        <v>3</v>
      </c>
      <c r="AV250">
        <v>1</v>
      </c>
      <c r="AW250">
        <v>2</v>
      </c>
      <c r="AX250">
        <v>65171720</v>
      </c>
      <c r="AY250">
        <v>1</v>
      </c>
      <c r="AZ250">
        <v>0</v>
      </c>
      <c r="BA250">
        <v>255</v>
      </c>
      <c r="BB250">
        <v>1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3.34544</v>
      </c>
      <c r="BL250">
        <v>3.4338500000000001</v>
      </c>
      <c r="BM250">
        <v>0</v>
      </c>
      <c r="BN250">
        <v>0</v>
      </c>
      <c r="BO250">
        <v>7.0000000000000001E-3</v>
      </c>
      <c r="BP250">
        <v>1</v>
      </c>
      <c r="BQ250">
        <v>0</v>
      </c>
      <c r="BR250">
        <v>3.34544</v>
      </c>
      <c r="BS250">
        <v>3.4338500000000001</v>
      </c>
      <c r="BT250">
        <v>0</v>
      </c>
      <c r="BU250">
        <v>0</v>
      </c>
      <c r="BV250">
        <v>7.0000000000000001E-3</v>
      </c>
      <c r="BW250">
        <v>1</v>
      </c>
      <c r="CV250">
        <v>0</v>
      </c>
      <c r="CW250">
        <f>ROUND(Y250*Source!I168*DO250,7)</f>
        <v>2.1000000000000001E-2</v>
      </c>
      <c r="CX250">
        <f>ROUND(Y250*Source!I168,7)</f>
        <v>2.1000000000000001E-2</v>
      </c>
      <c r="CY250">
        <f>AB250</f>
        <v>578.28</v>
      </c>
      <c r="CZ250">
        <f>AF250</f>
        <v>477.92</v>
      </c>
      <c r="DA250">
        <f>AJ250</f>
        <v>1.21</v>
      </c>
      <c r="DB250">
        <f t="shared" si="85"/>
        <v>3.35</v>
      </c>
      <c r="DC250">
        <f t="shared" si="86"/>
        <v>3.43</v>
      </c>
      <c r="DD250" t="s">
        <v>3</v>
      </c>
      <c r="DE250" t="s">
        <v>3</v>
      </c>
      <c r="DF250">
        <f t="shared" si="88"/>
        <v>0</v>
      </c>
      <c r="DG250">
        <f>ROUND(ROUND(AF250*AJ250,2)*CX250,2)</f>
        <v>12.14</v>
      </c>
      <c r="DH250">
        <f t="shared" si="71"/>
        <v>10.3</v>
      </c>
      <c r="DI250">
        <f t="shared" si="77"/>
        <v>0</v>
      </c>
      <c r="DJ250">
        <f>DG250+DH250</f>
        <v>22.44</v>
      </c>
      <c r="DK250">
        <v>0</v>
      </c>
      <c r="DL250" t="s">
        <v>523</v>
      </c>
      <c r="DM250">
        <v>4</v>
      </c>
      <c r="DN250" t="s">
        <v>509</v>
      </c>
      <c r="DO250">
        <v>1</v>
      </c>
    </row>
    <row r="251" spans="1:119" x14ac:dyDescent="0.2">
      <c r="A251">
        <f>ROW(Source!A168)</f>
        <v>168</v>
      </c>
      <c r="B251">
        <v>65170852</v>
      </c>
      <c r="C251">
        <v>65171711</v>
      </c>
      <c r="D251">
        <v>56580368</v>
      </c>
      <c r="E251">
        <v>1</v>
      </c>
      <c r="F251">
        <v>1</v>
      </c>
      <c r="G251">
        <v>1</v>
      </c>
      <c r="H251">
        <v>3</v>
      </c>
      <c r="I251" t="s">
        <v>553</v>
      </c>
      <c r="J251" t="s">
        <v>554</v>
      </c>
      <c r="K251" t="s">
        <v>555</v>
      </c>
      <c r="L251">
        <v>1346</v>
      </c>
      <c r="N251">
        <v>1009</v>
      </c>
      <c r="O251" t="s">
        <v>549</v>
      </c>
      <c r="P251" t="s">
        <v>549</v>
      </c>
      <c r="Q251">
        <v>1</v>
      </c>
      <c r="W251">
        <v>0</v>
      </c>
      <c r="X251">
        <v>-385218612</v>
      </c>
      <c r="Y251">
        <f t="shared" si="84"/>
        <v>0.08</v>
      </c>
      <c r="AA251">
        <v>201.17</v>
      </c>
      <c r="AB251">
        <v>0</v>
      </c>
      <c r="AC251">
        <v>0</v>
      </c>
      <c r="AD251">
        <v>0</v>
      </c>
      <c r="AE251">
        <v>174.93</v>
      </c>
      <c r="AF251">
        <v>0</v>
      </c>
      <c r="AG251">
        <v>0</v>
      </c>
      <c r="AH251">
        <v>0</v>
      </c>
      <c r="AI251">
        <v>1.1499999999999999</v>
      </c>
      <c r="AJ251">
        <v>1</v>
      </c>
      <c r="AK251">
        <v>1</v>
      </c>
      <c r="AL251">
        <v>1</v>
      </c>
      <c r="AM251">
        <v>2</v>
      </c>
      <c r="AN251">
        <v>0</v>
      </c>
      <c r="AO251">
        <v>0</v>
      </c>
      <c r="AP251">
        <v>0</v>
      </c>
      <c r="AQ251">
        <v>1</v>
      </c>
      <c r="AR251">
        <v>0</v>
      </c>
      <c r="AS251" t="s">
        <v>3</v>
      </c>
      <c r="AT251">
        <v>0.08</v>
      </c>
      <c r="AU251" t="s">
        <v>3</v>
      </c>
      <c r="AV251">
        <v>0</v>
      </c>
      <c r="AW251">
        <v>2</v>
      </c>
      <c r="AX251">
        <v>65171721</v>
      </c>
      <c r="AY251">
        <v>1</v>
      </c>
      <c r="AZ251">
        <v>0</v>
      </c>
      <c r="BA251">
        <v>256</v>
      </c>
      <c r="BB251">
        <v>1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13.994400000000001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1</v>
      </c>
      <c r="BQ251">
        <v>13.994400000000001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1</v>
      </c>
      <c r="CV251">
        <v>0</v>
      </c>
      <c r="CW251">
        <v>0</v>
      </c>
      <c r="CX251">
        <f>ROUND(Y251*Source!I168,7)</f>
        <v>0.24</v>
      </c>
      <c r="CY251">
        <f>AA251</f>
        <v>201.17</v>
      </c>
      <c r="CZ251">
        <f>AE251</f>
        <v>174.93</v>
      </c>
      <c r="DA251">
        <f>AI251</f>
        <v>1.1499999999999999</v>
      </c>
      <c r="DB251">
        <f t="shared" si="85"/>
        <v>13.99</v>
      </c>
      <c r="DC251">
        <f t="shared" si="86"/>
        <v>0</v>
      </c>
      <c r="DD251" t="s">
        <v>3</v>
      </c>
      <c r="DE251" t="s">
        <v>3</v>
      </c>
      <c r="DF251">
        <f>ROUND(ROUND(AE251*AI251,2)*CX251,2)</f>
        <v>48.28</v>
      </c>
      <c r="DG251">
        <f>ROUND(ROUND(AF251,2)*CX251,2)</f>
        <v>0</v>
      </c>
      <c r="DH251">
        <f t="shared" si="71"/>
        <v>0</v>
      </c>
      <c r="DI251">
        <f t="shared" si="77"/>
        <v>0</v>
      </c>
      <c r="DJ251">
        <f>DF251</f>
        <v>48.28</v>
      </c>
      <c r="DK251">
        <v>0</v>
      </c>
      <c r="DL251" t="s">
        <v>3</v>
      </c>
      <c r="DM251">
        <v>0</v>
      </c>
      <c r="DN251" t="s">
        <v>3</v>
      </c>
      <c r="DO251">
        <v>0</v>
      </c>
    </row>
    <row r="252" spans="1:119" x14ac:dyDescent="0.2">
      <c r="A252">
        <f>ROW(Source!A169)</f>
        <v>169</v>
      </c>
      <c r="B252">
        <v>65170852</v>
      </c>
      <c r="C252">
        <v>65171723</v>
      </c>
      <c r="D252">
        <v>37080781</v>
      </c>
      <c r="E252">
        <v>108</v>
      </c>
      <c r="F252">
        <v>1</v>
      </c>
      <c r="G252">
        <v>1</v>
      </c>
      <c r="H252">
        <v>1</v>
      </c>
      <c r="I252" t="s">
        <v>729</v>
      </c>
      <c r="J252" t="s">
        <v>3</v>
      </c>
      <c r="K252" t="s">
        <v>730</v>
      </c>
      <c r="L252">
        <v>1191</v>
      </c>
      <c r="N252">
        <v>1013</v>
      </c>
      <c r="O252" t="s">
        <v>509</v>
      </c>
      <c r="P252" t="s">
        <v>509</v>
      </c>
      <c r="Q252">
        <v>1</v>
      </c>
      <c r="W252">
        <v>0</v>
      </c>
      <c r="X252">
        <v>-1936699058</v>
      </c>
      <c r="Y252">
        <f t="shared" si="84"/>
        <v>70</v>
      </c>
      <c r="AA252">
        <v>0</v>
      </c>
      <c r="AB252">
        <v>0</v>
      </c>
      <c r="AC252">
        <v>0</v>
      </c>
      <c r="AD252">
        <v>505.19</v>
      </c>
      <c r="AE252">
        <v>0</v>
      </c>
      <c r="AF252">
        <v>0</v>
      </c>
      <c r="AG252">
        <v>0</v>
      </c>
      <c r="AH252">
        <v>505.19</v>
      </c>
      <c r="AI252">
        <v>1</v>
      </c>
      <c r="AJ252">
        <v>1</v>
      </c>
      <c r="AK252">
        <v>1</v>
      </c>
      <c r="AL252">
        <v>1</v>
      </c>
      <c r="AM252">
        <v>-2</v>
      </c>
      <c r="AN252">
        <v>0</v>
      </c>
      <c r="AO252">
        <v>0</v>
      </c>
      <c r="AP252">
        <v>1</v>
      </c>
      <c r="AQ252">
        <v>1</v>
      </c>
      <c r="AR252">
        <v>0</v>
      </c>
      <c r="AS252" t="s">
        <v>3</v>
      </c>
      <c r="AT252">
        <v>70</v>
      </c>
      <c r="AU252" t="s">
        <v>3</v>
      </c>
      <c r="AV252">
        <v>1</v>
      </c>
      <c r="AW252">
        <v>2</v>
      </c>
      <c r="AX252">
        <v>65171738</v>
      </c>
      <c r="AY252">
        <v>1</v>
      </c>
      <c r="AZ252">
        <v>0</v>
      </c>
      <c r="BA252">
        <v>258</v>
      </c>
      <c r="BB252">
        <v>1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35363.300000000003</v>
      </c>
      <c r="BN252">
        <v>70</v>
      </c>
      <c r="BO252">
        <v>0</v>
      </c>
      <c r="BP252">
        <v>1</v>
      </c>
      <c r="BQ252">
        <v>0</v>
      </c>
      <c r="BR252">
        <v>0</v>
      </c>
      <c r="BS252">
        <v>0</v>
      </c>
      <c r="BT252">
        <v>35363.300000000003</v>
      </c>
      <c r="BU252">
        <v>70</v>
      </c>
      <c r="BV252">
        <v>0</v>
      </c>
      <c r="BW252">
        <v>1</v>
      </c>
      <c r="CU252">
        <f>ROUND(AT252*Source!I169*AH252*AL252,2)</f>
        <v>8487.19</v>
      </c>
      <c r="CV252">
        <f>ROUND(Y252*Source!I169,7)</f>
        <v>16.8</v>
      </c>
      <c r="CW252">
        <v>0</v>
      </c>
      <c r="CX252">
        <f>ROUND(Y252*Source!I169,7)</f>
        <v>16.8</v>
      </c>
      <c r="CY252">
        <f>AD252</f>
        <v>505.19</v>
      </c>
      <c r="CZ252">
        <f>AH252</f>
        <v>505.19</v>
      </c>
      <c r="DA252">
        <f>AL252</f>
        <v>1</v>
      </c>
      <c r="DB252">
        <f t="shared" si="85"/>
        <v>35363.300000000003</v>
      </c>
      <c r="DC252">
        <f t="shared" si="86"/>
        <v>0</v>
      </c>
      <c r="DD252" t="s">
        <v>3</v>
      </c>
      <c r="DE252" t="s">
        <v>3</v>
      </c>
      <c r="DF252">
        <f t="shared" ref="DF252:DF257" si="89">ROUND(ROUND(AE252,2)*CX252,2)</f>
        <v>0</v>
      </c>
      <c r="DG252">
        <f>ROUND(ROUND(AF252,2)*CX252,2)</f>
        <v>0</v>
      </c>
      <c r="DH252">
        <f t="shared" si="71"/>
        <v>0</v>
      </c>
      <c r="DI252">
        <f t="shared" si="77"/>
        <v>8487.19</v>
      </c>
      <c r="DJ252">
        <f>DI252</f>
        <v>8487.19</v>
      </c>
      <c r="DK252">
        <v>1</v>
      </c>
      <c r="DL252" t="s">
        <v>3</v>
      </c>
      <c r="DM252">
        <v>0</v>
      </c>
      <c r="DN252" t="s">
        <v>3</v>
      </c>
      <c r="DO252">
        <v>0</v>
      </c>
    </row>
    <row r="253" spans="1:119" x14ac:dyDescent="0.2">
      <c r="A253">
        <f>ROW(Source!A169)</f>
        <v>169</v>
      </c>
      <c r="B253">
        <v>65170852</v>
      </c>
      <c r="C253">
        <v>65171723</v>
      </c>
      <c r="D253">
        <v>37064876</v>
      </c>
      <c r="E253">
        <v>108</v>
      </c>
      <c r="F253">
        <v>1</v>
      </c>
      <c r="G253">
        <v>1</v>
      </c>
      <c r="H253">
        <v>1</v>
      </c>
      <c r="I253" t="s">
        <v>510</v>
      </c>
      <c r="J253" t="s">
        <v>3</v>
      </c>
      <c r="K253" t="s">
        <v>511</v>
      </c>
      <c r="L253">
        <v>1191</v>
      </c>
      <c r="N253">
        <v>1013</v>
      </c>
      <c r="O253" t="s">
        <v>509</v>
      </c>
      <c r="P253" t="s">
        <v>509</v>
      </c>
      <c r="Q253">
        <v>1</v>
      </c>
      <c r="W253">
        <v>0</v>
      </c>
      <c r="X253">
        <v>-1417349443</v>
      </c>
      <c r="Y253">
        <f t="shared" si="84"/>
        <v>0.08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1</v>
      </c>
      <c r="AJ253">
        <v>1</v>
      </c>
      <c r="AK253">
        <v>1</v>
      </c>
      <c r="AL253">
        <v>1</v>
      </c>
      <c r="AM253">
        <v>-2</v>
      </c>
      <c r="AN253">
        <v>0</v>
      </c>
      <c r="AO253">
        <v>0</v>
      </c>
      <c r="AP253">
        <v>1</v>
      </c>
      <c r="AQ253">
        <v>1</v>
      </c>
      <c r="AR253">
        <v>0</v>
      </c>
      <c r="AS253" t="s">
        <v>3</v>
      </c>
      <c r="AT253">
        <v>0.08</v>
      </c>
      <c r="AU253" t="s">
        <v>3</v>
      </c>
      <c r="AV253">
        <v>2</v>
      </c>
      <c r="AW253">
        <v>2</v>
      </c>
      <c r="AX253">
        <v>65171739</v>
      </c>
      <c r="AY253">
        <v>1</v>
      </c>
      <c r="AZ253">
        <v>0</v>
      </c>
      <c r="BA253">
        <v>259</v>
      </c>
      <c r="BB253">
        <v>1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CV253">
        <v>0</v>
      </c>
      <c r="CW253">
        <v>0</v>
      </c>
      <c r="CX253">
        <f>ROUND(Y253*Source!I169,7)</f>
        <v>1.9199999999999998E-2</v>
      </c>
      <c r="CY253">
        <f>AD253</f>
        <v>0</v>
      </c>
      <c r="CZ253">
        <f>AH253</f>
        <v>0</v>
      </c>
      <c r="DA253">
        <f>AL253</f>
        <v>1</v>
      </c>
      <c r="DB253">
        <f t="shared" si="85"/>
        <v>0</v>
      </c>
      <c r="DC253">
        <f t="shared" si="86"/>
        <v>0</v>
      </c>
      <c r="DD253" t="s">
        <v>3</v>
      </c>
      <c r="DE253" t="s">
        <v>3</v>
      </c>
      <c r="DF253">
        <f t="shared" si="89"/>
        <v>0</v>
      </c>
      <c r="DG253">
        <f>ROUND(ROUND(AF253,2)*CX253,2)</f>
        <v>0</v>
      </c>
      <c r="DH253">
        <f t="shared" si="71"/>
        <v>0</v>
      </c>
      <c r="DI253">
        <f t="shared" si="77"/>
        <v>0</v>
      </c>
      <c r="DJ253">
        <f>DI253</f>
        <v>0</v>
      </c>
      <c r="DK253">
        <v>0</v>
      </c>
      <c r="DL253" t="s">
        <v>3</v>
      </c>
      <c r="DM253">
        <v>0</v>
      </c>
      <c r="DN253" t="s">
        <v>3</v>
      </c>
      <c r="DO253">
        <v>0</v>
      </c>
    </row>
    <row r="254" spans="1:119" x14ac:dyDescent="0.2">
      <c r="A254">
        <f>ROW(Source!A169)</f>
        <v>169</v>
      </c>
      <c r="B254">
        <v>65170852</v>
      </c>
      <c r="C254">
        <v>65171723</v>
      </c>
      <c r="D254">
        <v>56571417</v>
      </c>
      <c r="E254">
        <v>1</v>
      </c>
      <c r="F254">
        <v>1</v>
      </c>
      <c r="G254">
        <v>1</v>
      </c>
      <c r="H254">
        <v>2</v>
      </c>
      <c r="I254" t="s">
        <v>512</v>
      </c>
      <c r="J254" t="s">
        <v>513</v>
      </c>
      <c r="K254" t="s">
        <v>514</v>
      </c>
      <c r="L254">
        <v>1368</v>
      </c>
      <c r="N254">
        <v>1011</v>
      </c>
      <c r="O254" t="s">
        <v>515</v>
      </c>
      <c r="P254" t="s">
        <v>515</v>
      </c>
      <c r="Q254">
        <v>1</v>
      </c>
      <c r="W254">
        <v>0</v>
      </c>
      <c r="X254">
        <v>-848025172</v>
      </c>
      <c r="Y254">
        <f t="shared" si="84"/>
        <v>0.04</v>
      </c>
      <c r="AA254">
        <v>0</v>
      </c>
      <c r="AB254">
        <v>1551.19</v>
      </c>
      <c r="AC254">
        <v>658.94</v>
      </c>
      <c r="AD254">
        <v>0</v>
      </c>
      <c r="AE254">
        <v>0</v>
      </c>
      <c r="AF254">
        <v>1551.19</v>
      </c>
      <c r="AG254">
        <v>658.94</v>
      </c>
      <c r="AH254">
        <v>0</v>
      </c>
      <c r="AI254">
        <v>1</v>
      </c>
      <c r="AJ254">
        <v>1</v>
      </c>
      <c r="AK254">
        <v>1</v>
      </c>
      <c r="AL254">
        <v>1</v>
      </c>
      <c r="AM254">
        <v>-2</v>
      </c>
      <c r="AN254">
        <v>0</v>
      </c>
      <c r="AO254">
        <v>0</v>
      </c>
      <c r="AP254">
        <v>1</v>
      </c>
      <c r="AQ254">
        <v>1</v>
      </c>
      <c r="AR254">
        <v>0</v>
      </c>
      <c r="AS254" t="s">
        <v>3</v>
      </c>
      <c r="AT254">
        <v>0.04</v>
      </c>
      <c r="AU254" t="s">
        <v>3</v>
      </c>
      <c r="AV254">
        <v>1</v>
      </c>
      <c r="AW254">
        <v>2</v>
      </c>
      <c r="AX254">
        <v>65171740</v>
      </c>
      <c r="AY254">
        <v>1</v>
      </c>
      <c r="AZ254">
        <v>0</v>
      </c>
      <c r="BA254">
        <v>260</v>
      </c>
      <c r="BB254">
        <v>1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62.047600000000003</v>
      </c>
      <c r="BL254">
        <v>26.357600000000001</v>
      </c>
      <c r="BM254">
        <v>0</v>
      </c>
      <c r="BN254">
        <v>0</v>
      </c>
      <c r="BO254">
        <v>0.04</v>
      </c>
      <c r="BP254">
        <v>1</v>
      </c>
      <c r="BQ254">
        <v>0</v>
      </c>
      <c r="BR254">
        <v>62.047600000000003</v>
      </c>
      <c r="BS254">
        <v>26.357600000000001</v>
      </c>
      <c r="BT254">
        <v>0</v>
      </c>
      <c r="BU254">
        <v>0</v>
      </c>
      <c r="BV254">
        <v>0.04</v>
      </c>
      <c r="BW254">
        <v>1</v>
      </c>
      <c r="CV254">
        <v>0</v>
      </c>
      <c r="CW254">
        <f>ROUND(Y254*Source!I169*DO254,7)</f>
        <v>9.5999999999999992E-3</v>
      </c>
      <c r="CX254">
        <f>ROUND(Y254*Source!I169,7)</f>
        <v>9.5999999999999992E-3</v>
      </c>
      <c r="CY254">
        <f>AB254</f>
        <v>1551.19</v>
      </c>
      <c r="CZ254">
        <f>AF254</f>
        <v>1551.19</v>
      </c>
      <c r="DA254">
        <f>AJ254</f>
        <v>1</v>
      </c>
      <c r="DB254">
        <f t="shared" si="85"/>
        <v>62.05</v>
      </c>
      <c r="DC254">
        <f t="shared" si="86"/>
        <v>26.36</v>
      </c>
      <c r="DD254" t="s">
        <v>3</v>
      </c>
      <c r="DE254" t="s">
        <v>3</v>
      </c>
      <c r="DF254">
        <f t="shared" si="89"/>
        <v>0</v>
      </c>
      <c r="DG254">
        <f>ROUND(ROUND(AF254,2)*CX254,2)</f>
        <v>14.89</v>
      </c>
      <c r="DH254">
        <f t="shared" si="71"/>
        <v>6.33</v>
      </c>
      <c r="DI254">
        <f t="shared" si="77"/>
        <v>0</v>
      </c>
      <c r="DJ254">
        <f>DG254+DH254</f>
        <v>21.22</v>
      </c>
      <c r="DK254">
        <v>1</v>
      </c>
      <c r="DL254" t="s">
        <v>516</v>
      </c>
      <c r="DM254">
        <v>6</v>
      </c>
      <c r="DN254" t="s">
        <v>509</v>
      </c>
      <c r="DO254">
        <v>1</v>
      </c>
    </row>
    <row r="255" spans="1:119" x14ac:dyDescent="0.2">
      <c r="A255">
        <f>ROW(Source!A169)</f>
        <v>169</v>
      </c>
      <c r="B255">
        <v>65170852</v>
      </c>
      <c r="C255">
        <v>65171723</v>
      </c>
      <c r="D255">
        <v>56572833</v>
      </c>
      <c r="E255">
        <v>1</v>
      </c>
      <c r="F255">
        <v>1</v>
      </c>
      <c r="G255">
        <v>1</v>
      </c>
      <c r="H255">
        <v>2</v>
      </c>
      <c r="I255" t="s">
        <v>520</v>
      </c>
      <c r="J255" t="s">
        <v>521</v>
      </c>
      <c r="K255" t="s">
        <v>522</v>
      </c>
      <c r="L255">
        <v>1368</v>
      </c>
      <c r="N255">
        <v>1011</v>
      </c>
      <c r="O255" t="s">
        <v>515</v>
      </c>
      <c r="P255" t="s">
        <v>515</v>
      </c>
      <c r="Q255">
        <v>1</v>
      </c>
      <c r="W255">
        <v>0</v>
      </c>
      <c r="X255">
        <v>1230426758</v>
      </c>
      <c r="Y255">
        <f t="shared" si="84"/>
        <v>0.04</v>
      </c>
      <c r="AA255">
        <v>0</v>
      </c>
      <c r="AB255">
        <v>578.28</v>
      </c>
      <c r="AC255">
        <v>490.55</v>
      </c>
      <c r="AD255">
        <v>0</v>
      </c>
      <c r="AE255">
        <v>0</v>
      </c>
      <c r="AF255">
        <v>477.92</v>
      </c>
      <c r="AG255">
        <v>490.55</v>
      </c>
      <c r="AH255">
        <v>0</v>
      </c>
      <c r="AI255">
        <v>1</v>
      </c>
      <c r="AJ255">
        <v>1.21</v>
      </c>
      <c r="AK255">
        <v>1</v>
      </c>
      <c r="AL255">
        <v>1</v>
      </c>
      <c r="AM255">
        <v>2</v>
      </c>
      <c r="AN255">
        <v>0</v>
      </c>
      <c r="AO255">
        <v>0</v>
      </c>
      <c r="AP255">
        <v>1</v>
      </c>
      <c r="AQ255">
        <v>1</v>
      </c>
      <c r="AR255">
        <v>0</v>
      </c>
      <c r="AS255" t="s">
        <v>3</v>
      </c>
      <c r="AT255">
        <v>0.04</v>
      </c>
      <c r="AU255" t="s">
        <v>3</v>
      </c>
      <c r="AV255">
        <v>1</v>
      </c>
      <c r="AW255">
        <v>2</v>
      </c>
      <c r="AX255">
        <v>65171741</v>
      </c>
      <c r="AY255">
        <v>1</v>
      </c>
      <c r="AZ255">
        <v>0</v>
      </c>
      <c r="BA255">
        <v>261</v>
      </c>
      <c r="BB255">
        <v>1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19.116800000000001</v>
      </c>
      <c r="BL255">
        <v>19.622</v>
      </c>
      <c r="BM255">
        <v>0</v>
      </c>
      <c r="BN255">
        <v>0</v>
      </c>
      <c r="BO255">
        <v>0.04</v>
      </c>
      <c r="BP255">
        <v>1</v>
      </c>
      <c r="BQ255">
        <v>0</v>
      </c>
      <c r="BR255">
        <v>19.116800000000001</v>
      </c>
      <c r="BS255">
        <v>19.622</v>
      </c>
      <c r="BT255">
        <v>0</v>
      </c>
      <c r="BU255">
        <v>0</v>
      </c>
      <c r="BV255">
        <v>0.04</v>
      </c>
      <c r="BW255">
        <v>1</v>
      </c>
      <c r="CV255">
        <v>0</v>
      </c>
      <c r="CW255">
        <f>ROUND(Y255*Source!I169*DO255,7)</f>
        <v>9.5999999999999992E-3</v>
      </c>
      <c r="CX255">
        <f>ROUND(Y255*Source!I169,7)</f>
        <v>9.5999999999999992E-3</v>
      </c>
      <c r="CY255">
        <f>AB255</f>
        <v>578.28</v>
      </c>
      <c r="CZ255">
        <f>AF255</f>
        <v>477.92</v>
      </c>
      <c r="DA255">
        <f>AJ255</f>
        <v>1.21</v>
      </c>
      <c r="DB255">
        <f t="shared" si="85"/>
        <v>19.12</v>
      </c>
      <c r="DC255">
        <f t="shared" si="86"/>
        <v>19.62</v>
      </c>
      <c r="DD255" t="s">
        <v>3</v>
      </c>
      <c r="DE255" t="s">
        <v>3</v>
      </c>
      <c r="DF255">
        <f t="shared" si="89"/>
        <v>0</v>
      </c>
      <c r="DG255">
        <f>ROUND(ROUND(AF255*AJ255,2)*CX255,2)</f>
        <v>5.55</v>
      </c>
      <c r="DH255">
        <f t="shared" si="71"/>
        <v>4.71</v>
      </c>
      <c r="DI255">
        <f t="shared" si="77"/>
        <v>0</v>
      </c>
      <c r="DJ255">
        <f>DG255+DH255</f>
        <v>10.26</v>
      </c>
      <c r="DK255">
        <v>0</v>
      </c>
      <c r="DL255" t="s">
        <v>523</v>
      </c>
      <c r="DM255">
        <v>4</v>
      </c>
      <c r="DN255" t="s">
        <v>509</v>
      </c>
      <c r="DO255">
        <v>1</v>
      </c>
    </row>
    <row r="256" spans="1:119" x14ac:dyDescent="0.2">
      <c r="A256">
        <f>ROW(Source!A169)</f>
        <v>169</v>
      </c>
      <c r="B256">
        <v>65170852</v>
      </c>
      <c r="C256">
        <v>65171723</v>
      </c>
      <c r="D256">
        <v>56573153</v>
      </c>
      <c r="E256">
        <v>1</v>
      </c>
      <c r="F256">
        <v>1</v>
      </c>
      <c r="G256">
        <v>1</v>
      </c>
      <c r="H256">
        <v>2</v>
      </c>
      <c r="I256" t="s">
        <v>655</v>
      </c>
      <c r="J256" t="s">
        <v>656</v>
      </c>
      <c r="K256" t="s">
        <v>657</v>
      </c>
      <c r="L256">
        <v>1368</v>
      </c>
      <c r="N256">
        <v>1011</v>
      </c>
      <c r="O256" t="s">
        <v>515</v>
      </c>
      <c r="P256" t="s">
        <v>515</v>
      </c>
      <c r="Q256">
        <v>1</v>
      </c>
      <c r="W256">
        <v>0</v>
      </c>
      <c r="X256">
        <v>1280601743</v>
      </c>
      <c r="Y256">
        <f t="shared" si="84"/>
        <v>6.83</v>
      </c>
      <c r="AA256">
        <v>0</v>
      </c>
      <c r="AB256">
        <v>26.32</v>
      </c>
      <c r="AC256">
        <v>0</v>
      </c>
      <c r="AD256">
        <v>0</v>
      </c>
      <c r="AE256">
        <v>0</v>
      </c>
      <c r="AF256">
        <v>26.32</v>
      </c>
      <c r="AG256">
        <v>0</v>
      </c>
      <c r="AH256">
        <v>0</v>
      </c>
      <c r="AI256">
        <v>1</v>
      </c>
      <c r="AJ256">
        <v>1</v>
      </c>
      <c r="AK256">
        <v>1</v>
      </c>
      <c r="AL256">
        <v>1</v>
      </c>
      <c r="AM256">
        <v>-2</v>
      </c>
      <c r="AN256">
        <v>0</v>
      </c>
      <c r="AO256">
        <v>0</v>
      </c>
      <c r="AP256">
        <v>1</v>
      </c>
      <c r="AQ256">
        <v>1</v>
      </c>
      <c r="AR256">
        <v>0</v>
      </c>
      <c r="AS256" t="s">
        <v>3</v>
      </c>
      <c r="AT256">
        <v>6.83</v>
      </c>
      <c r="AU256" t="s">
        <v>3</v>
      </c>
      <c r="AV256">
        <v>1</v>
      </c>
      <c r="AW256">
        <v>2</v>
      </c>
      <c r="AX256">
        <v>65171742</v>
      </c>
      <c r="AY256">
        <v>1</v>
      </c>
      <c r="AZ256">
        <v>0</v>
      </c>
      <c r="BA256">
        <v>262</v>
      </c>
      <c r="BB256">
        <v>1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179.76560000000001</v>
      </c>
      <c r="BL256">
        <v>0</v>
      </c>
      <c r="BM256">
        <v>0</v>
      </c>
      <c r="BN256">
        <v>0</v>
      </c>
      <c r="BO256">
        <v>0</v>
      </c>
      <c r="BP256">
        <v>1</v>
      </c>
      <c r="BQ256">
        <v>0</v>
      </c>
      <c r="BR256">
        <v>179.76560000000001</v>
      </c>
      <c r="BS256">
        <v>0</v>
      </c>
      <c r="BT256">
        <v>0</v>
      </c>
      <c r="BU256">
        <v>0</v>
      </c>
      <c r="BV256">
        <v>0</v>
      </c>
      <c r="BW256">
        <v>1</v>
      </c>
      <c r="CV256">
        <v>0</v>
      </c>
      <c r="CW256">
        <f>ROUND(Y256*Source!I169*DO256,7)</f>
        <v>0</v>
      </c>
      <c r="CX256">
        <f>ROUND(Y256*Source!I169,7)</f>
        <v>1.6392</v>
      </c>
      <c r="CY256">
        <f>AB256</f>
        <v>26.32</v>
      </c>
      <c r="CZ256">
        <f>AF256</f>
        <v>26.32</v>
      </c>
      <c r="DA256">
        <f>AJ256</f>
        <v>1</v>
      </c>
      <c r="DB256">
        <f t="shared" si="85"/>
        <v>179.77</v>
      </c>
      <c r="DC256">
        <f t="shared" si="86"/>
        <v>0</v>
      </c>
      <c r="DD256" t="s">
        <v>3</v>
      </c>
      <c r="DE256" t="s">
        <v>3</v>
      </c>
      <c r="DF256">
        <f t="shared" si="89"/>
        <v>0</v>
      </c>
      <c r="DG256">
        <f>ROUND(ROUND(AF256,2)*CX256,2)</f>
        <v>43.14</v>
      </c>
      <c r="DH256">
        <f t="shared" si="71"/>
        <v>0</v>
      </c>
      <c r="DI256">
        <f t="shared" si="77"/>
        <v>0</v>
      </c>
      <c r="DJ256">
        <f>DG256+DH256</f>
        <v>43.14</v>
      </c>
      <c r="DK256">
        <v>1</v>
      </c>
      <c r="DL256" t="s">
        <v>3</v>
      </c>
      <c r="DM256">
        <v>0</v>
      </c>
      <c r="DN256" t="s">
        <v>3</v>
      </c>
      <c r="DO256">
        <v>0</v>
      </c>
    </row>
    <row r="257" spans="1:119" x14ac:dyDescent="0.2">
      <c r="A257">
        <f>ROW(Source!A169)</f>
        <v>169</v>
      </c>
      <c r="B257">
        <v>65170852</v>
      </c>
      <c r="C257">
        <v>65171723</v>
      </c>
      <c r="D257">
        <v>56573896</v>
      </c>
      <c r="E257">
        <v>1</v>
      </c>
      <c r="F257">
        <v>1</v>
      </c>
      <c r="G257">
        <v>1</v>
      </c>
      <c r="H257">
        <v>2</v>
      </c>
      <c r="I257" t="s">
        <v>731</v>
      </c>
      <c r="J257" t="s">
        <v>732</v>
      </c>
      <c r="K257" t="s">
        <v>733</v>
      </c>
      <c r="L257">
        <v>1368</v>
      </c>
      <c r="N257">
        <v>1011</v>
      </c>
      <c r="O257" t="s">
        <v>515</v>
      </c>
      <c r="P257" t="s">
        <v>515</v>
      </c>
      <c r="Q257">
        <v>1</v>
      </c>
      <c r="W257">
        <v>0</v>
      </c>
      <c r="X257">
        <v>-647143963</v>
      </c>
      <c r="Y257">
        <f t="shared" si="84"/>
        <v>5.6</v>
      </c>
      <c r="AA257">
        <v>0</v>
      </c>
      <c r="AB257">
        <v>28.43</v>
      </c>
      <c r="AC257">
        <v>0</v>
      </c>
      <c r="AD257">
        <v>0</v>
      </c>
      <c r="AE257">
        <v>0</v>
      </c>
      <c r="AF257">
        <v>23.89</v>
      </c>
      <c r="AG257">
        <v>0</v>
      </c>
      <c r="AH257">
        <v>0</v>
      </c>
      <c r="AI257">
        <v>1</v>
      </c>
      <c r="AJ257">
        <v>1.19</v>
      </c>
      <c r="AK257">
        <v>1</v>
      </c>
      <c r="AL257">
        <v>1</v>
      </c>
      <c r="AM257">
        <v>2</v>
      </c>
      <c r="AN257">
        <v>0</v>
      </c>
      <c r="AO257">
        <v>0</v>
      </c>
      <c r="AP257">
        <v>1</v>
      </c>
      <c r="AQ257">
        <v>1</v>
      </c>
      <c r="AR257">
        <v>0</v>
      </c>
      <c r="AS257" t="s">
        <v>3</v>
      </c>
      <c r="AT257">
        <v>5.6</v>
      </c>
      <c r="AU257" t="s">
        <v>3</v>
      </c>
      <c r="AV257">
        <v>1</v>
      </c>
      <c r="AW257">
        <v>2</v>
      </c>
      <c r="AX257">
        <v>65171743</v>
      </c>
      <c r="AY257">
        <v>1</v>
      </c>
      <c r="AZ257">
        <v>0</v>
      </c>
      <c r="BA257">
        <v>263</v>
      </c>
      <c r="BB257">
        <v>1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133.78399999999999</v>
      </c>
      <c r="BL257">
        <v>0</v>
      </c>
      <c r="BM257">
        <v>0</v>
      </c>
      <c r="BN257">
        <v>0</v>
      </c>
      <c r="BO257">
        <v>0</v>
      </c>
      <c r="BP257">
        <v>1</v>
      </c>
      <c r="BQ257">
        <v>0</v>
      </c>
      <c r="BR257">
        <v>133.78399999999999</v>
      </c>
      <c r="BS257">
        <v>0</v>
      </c>
      <c r="BT257">
        <v>0</v>
      </c>
      <c r="BU257">
        <v>0</v>
      </c>
      <c r="BV257">
        <v>0</v>
      </c>
      <c r="BW257">
        <v>1</v>
      </c>
      <c r="CV257">
        <v>0</v>
      </c>
      <c r="CW257">
        <f>ROUND(Y257*Source!I169*DO257,7)</f>
        <v>0</v>
      </c>
      <c r="CX257">
        <f>ROUND(Y257*Source!I169,7)</f>
        <v>1.3440000000000001</v>
      </c>
      <c r="CY257">
        <f>AB257</f>
        <v>28.43</v>
      </c>
      <c r="CZ257">
        <f>AF257</f>
        <v>23.89</v>
      </c>
      <c r="DA257">
        <f>AJ257</f>
        <v>1.19</v>
      </c>
      <c r="DB257">
        <f t="shared" si="85"/>
        <v>133.78</v>
      </c>
      <c r="DC257">
        <f t="shared" si="86"/>
        <v>0</v>
      </c>
      <c r="DD257" t="s">
        <v>3</v>
      </c>
      <c r="DE257" t="s">
        <v>3</v>
      </c>
      <c r="DF257">
        <f t="shared" si="89"/>
        <v>0</v>
      </c>
      <c r="DG257">
        <f>ROUND(ROUND(AF257*AJ257,2)*CX257,2)</f>
        <v>38.21</v>
      </c>
      <c r="DH257">
        <f t="shared" ref="DH257:DH325" si="90">ROUND(ROUND(AG257,2)*CX257,2)</f>
        <v>0</v>
      </c>
      <c r="DI257">
        <f t="shared" si="77"/>
        <v>0</v>
      </c>
      <c r="DJ257">
        <f>DG257+DH257</f>
        <v>38.21</v>
      </c>
      <c r="DK257">
        <v>0</v>
      </c>
      <c r="DL257" t="s">
        <v>3</v>
      </c>
      <c r="DM257">
        <v>0</v>
      </c>
      <c r="DN257" t="s">
        <v>3</v>
      </c>
      <c r="DO257">
        <v>0</v>
      </c>
    </row>
    <row r="258" spans="1:119" x14ac:dyDescent="0.2">
      <c r="A258">
        <f>ROW(Source!A169)</f>
        <v>169</v>
      </c>
      <c r="B258">
        <v>65170852</v>
      </c>
      <c r="C258">
        <v>65171723</v>
      </c>
      <c r="D258">
        <v>56574807</v>
      </c>
      <c r="E258">
        <v>1</v>
      </c>
      <c r="F258">
        <v>1</v>
      </c>
      <c r="G258">
        <v>1</v>
      </c>
      <c r="H258">
        <v>3</v>
      </c>
      <c r="I258" t="s">
        <v>734</v>
      </c>
      <c r="J258" t="s">
        <v>735</v>
      </c>
      <c r="K258" t="s">
        <v>736</v>
      </c>
      <c r="L258">
        <v>1346</v>
      </c>
      <c r="N258">
        <v>1009</v>
      </c>
      <c r="O258" t="s">
        <v>549</v>
      </c>
      <c r="P258" t="s">
        <v>549</v>
      </c>
      <c r="Q258">
        <v>1</v>
      </c>
      <c r="W258">
        <v>0</v>
      </c>
      <c r="X258">
        <v>1380577498</v>
      </c>
      <c r="Y258">
        <f t="shared" si="84"/>
        <v>0.7</v>
      </c>
      <c r="AA258">
        <v>265.57</v>
      </c>
      <c r="AB258">
        <v>0</v>
      </c>
      <c r="AC258">
        <v>0</v>
      </c>
      <c r="AD258">
        <v>0</v>
      </c>
      <c r="AE258">
        <v>150.04</v>
      </c>
      <c r="AF258">
        <v>0</v>
      </c>
      <c r="AG258">
        <v>0</v>
      </c>
      <c r="AH258">
        <v>0</v>
      </c>
      <c r="AI258">
        <v>1.77</v>
      </c>
      <c r="AJ258">
        <v>1</v>
      </c>
      <c r="AK258">
        <v>1</v>
      </c>
      <c r="AL258">
        <v>1</v>
      </c>
      <c r="AM258">
        <v>2</v>
      </c>
      <c r="AN258">
        <v>0</v>
      </c>
      <c r="AO258">
        <v>0</v>
      </c>
      <c r="AP258">
        <v>0</v>
      </c>
      <c r="AQ258">
        <v>1</v>
      </c>
      <c r="AR258">
        <v>0</v>
      </c>
      <c r="AS258" t="s">
        <v>3</v>
      </c>
      <c r="AT258">
        <v>0.7</v>
      </c>
      <c r="AU258" t="s">
        <v>3</v>
      </c>
      <c r="AV258">
        <v>0</v>
      </c>
      <c r="AW258">
        <v>2</v>
      </c>
      <c r="AX258">
        <v>65171744</v>
      </c>
      <c r="AY258">
        <v>1</v>
      </c>
      <c r="AZ258">
        <v>0</v>
      </c>
      <c r="BA258">
        <v>264</v>
      </c>
      <c r="BB258">
        <v>1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105.02799999999999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1</v>
      </c>
      <c r="BQ258">
        <v>105.02799999999999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1</v>
      </c>
      <c r="CV258">
        <v>0</v>
      </c>
      <c r="CW258">
        <v>0</v>
      </c>
      <c r="CX258">
        <f>ROUND(Y258*Source!I169,7)</f>
        <v>0.16800000000000001</v>
      </c>
      <c r="CY258">
        <f t="shared" ref="CY258:CY265" si="91">AA258</f>
        <v>265.57</v>
      </c>
      <c r="CZ258">
        <f t="shared" ref="CZ258:CZ265" si="92">AE258</f>
        <v>150.04</v>
      </c>
      <c r="DA258">
        <f t="shared" ref="DA258:DA265" si="93">AI258</f>
        <v>1.77</v>
      </c>
      <c r="DB258">
        <f t="shared" si="85"/>
        <v>105.03</v>
      </c>
      <c r="DC258">
        <f t="shared" si="86"/>
        <v>0</v>
      </c>
      <c r="DD258" t="s">
        <v>3</v>
      </c>
      <c r="DE258" t="s">
        <v>3</v>
      </c>
      <c r="DF258">
        <f>ROUND(ROUND(AE258*AI258,2)*CX258,2)</f>
        <v>44.62</v>
      </c>
      <c r="DG258">
        <f t="shared" ref="DG258:DG268" si="94">ROUND(ROUND(AF258,2)*CX258,2)</f>
        <v>0</v>
      </c>
      <c r="DH258">
        <f t="shared" si="90"/>
        <v>0</v>
      </c>
      <c r="DI258">
        <f t="shared" si="77"/>
        <v>0</v>
      </c>
      <c r="DJ258">
        <f t="shared" ref="DJ258:DJ265" si="95">DF258</f>
        <v>44.62</v>
      </c>
      <c r="DK258">
        <v>0</v>
      </c>
      <c r="DL258" t="s">
        <v>3</v>
      </c>
      <c r="DM258">
        <v>0</v>
      </c>
      <c r="DN258" t="s">
        <v>3</v>
      </c>
      <c r="DO258">
        <v>0</v>
      </c>
    </row>
    <row r="259" spans="1:119" x14ac:dyDescent="0.2">
      <c r="A259">
        <f>ROW(Source!A169)</f>
        <v>169</v>
      </c>
      <c r="B259">
        <v>65170852</v>
      </c>
      <c r="C259">
        <v>65171723</v>
      </c>
      <c r="D259">
        <v>56577940</v>
      </c>
      <c r="E259">
        <v>1</v>
      </c>
      <c r="F259">
        <v>1</v>
      </c>
      <c r="G259">
        <v>1</v>
      </c>
      <c r="H259">
        <v>3</v>
      </c>
      <c r="I259" t="s">
        <v>737</v>
      </c>
      <c r="J259" t="s">
        <v>738</v>
      </c>
      <c r="K259" t="s">
        <v>739</v>
      </c>
      <c r="L259">
        <v>1346</v>
      </c>
      <c r="N259">
        <v>1009</v>
      </c>
      <c r="O259" t="s">
        <v>549</v>
      </c>
      <c r="P259" t="s">
        <v>549</v>
      </c>
      <c r="Q259">
        <v>1</v>
      </c>
      <c r="W259">
        <v>0</v>
      </c>
      <c r="X259">
        <v>769317804</v>
      </c>
      <c r="Y259">
        <f t="shared" si="84"/>
        <v>1.26</v>
      </c>
      <c r="AA259">
        <v>179.88</v>
      </c>
      <c r="AB259">
        <v>0</v>
      </c>
      <c r="AC259">
        <v>0</v>
      </c>
      <c r="AD259">
        <v>0</v>
      </c>
      <c r="AE259">
        <v>187.38</v>
      </c>
      <c r="AF259">
        <v>0</v>
      </c>
      <c r="AG259">
        <v>0</v>
      </c>
      <c r="AH259">
        <v>0</v>
      </c>
      <c r="AI259">
        <v>0.96</v>
      </c>
      <c r="AJ259">
        <v>1</v>
      </c>
      <c r="AK259">
        <v>1</v>
      </c>
      <c r="AL259">
        <v>1</v>
      </c>
      <c r="AM259">
        <v>2</v>
      </c>
      <c r="AN259">
        <v>0</v>
      </c>
      <c r="AO259">
        <v>0</v>
      </c>
      <c r="AP259">
        <v>0</v>
      </c>
      <c r="AQ259">
        <v>1</v>
      </c>
      <c r="AR259">
        <v>0</v>
      </c>
      <c r="AS259" t="s">
        <v>3</v>
      </c>
      <c r="AT259">
        <v>1.26</v>
      </c>
      <c r="AU259" t="s">
        <v>3</v>
      </c>
      <c r="AV259">
        <v>0</v>
      </c>
      <c r="AW259">
        <v>2</v>
      </c>
      <c r="AX259">
        <v>65171745</v>
      </c>
      <c r="AY259">
        <v>1</v>
      </c>
      <c r="AZ259">
        <v>0</v>
      </c>
      <c r="BA259">
        <v>265</v>
      </c>
      <c r="BB259">
        <v>1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236.09879999999998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1</v>
      </c>
      <c r="BQ259">
        <v>236.09879999999998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1</v>
      </c>
      <c r="CV259">
        <v>0</v>
      </c>
      <c r="CW259">
        <v>0</v>
      </c>
      <c r="CX259">
        <f>ROUND(Y259*Source!I169,7)</f>
        <v>0.3024</v>
      </c>
      <c r="CY259">
        <f t="shared" si="91"/>
        <v>179.88</v>
      </c>
      <c r="CZ259">
        <f t="shared" si="92"/>
        <v>187.38</v>
      </c>
      <c r="DA259">
        <f t="shared" si="93"/>
        <v>0.96</v>
      </c>
      <c r="DB259">
        <f t="shared" si="85"/>
        <v>236.1</v>
      </c>
      <c r="DC259">
        <f t="shared" si="86"/>
        <v>0</v>
      </c>
      <c r="DD259" t="s">
        <v>3</v>
      </c>
      <c r="DE259" t="s">
        <v>3</v>
      </c>
      <c r="DF259">
        <f>ROUND(ROUND(AE259*AI259,2)*CX259,2)</f>
        <v>54.4</v>
      </c>
      <c r="DG259">
        <f t="shared" si="94"/>
        <v>0</v>
      </c>
      <c r="DH259">
        <f t="shared" si="90"/>
        <v>0</v>
      </c>
      <c r="DI259">
        <f t="shared" si="77"/>
        <v>0</v>
      </c>
      <c r="DJ259">
        <f t="shared" si="95"/>
        <v>54.4</v>
      </c>
      <c r="DK259">
        <v>0</v>
      </c>
      <c r="DL259" t="s">
        <v>3</v>
      </c>
      <c r="DM259">
        <v>0</v>
      </c>
      <c r="DN259" t="s">
        <v>3</v>
      </c>
      <c r="DO259">
        <v>0</v>
      </c>
    </row>
    <row r="260" spans="1:119" x14ac:dyDescent="0.2">
      <c r="A260">
        <f>ROW(Source!A169)</f>
        <v>169</v>
      </c>
      <c r="B260">
        <v>65170852</v>
      </c>
      <c r="C260">
        <v>65171723</v>
      </c>
      <c r="D260">
        <v>56577966</v>
      </c>
      <c r="E260">
        <v>1</v>
      </c>
      <c r="F260">
        <v>1</v>
      </c>
      <c r="G260">
        <v>1</v>
      </c>
      <c r="H260">
        <v>3</v>
      </c>
      <c r="I260" t="s">
        <v>740</v>
      </c>
      <c r="J260" t="s">
        <v>741</v>
      </c>
      <c r="K260" t="s">
        <v>742</v>
      </c>
      <c r="L260">
        <v>1383</v>
      </c>
      <c r="N260">
        <v>1013</v>
      </c>
      <c r="O260" t="s">
        <v>743</v>
      </c>
      <c r="P260" t="s">
        <v>743</v>
      </c>
      <c r="Q260">
        <v>1</v>
      </c>
      <c r="W260">
        <v>0</v>
      </c>
      <c r="X260">
        <v>-218356995</v>
      </c>
      <c r="Y260">
        <f t="shared" si="84"/>
        <v>3.5760000000000001</v>
      </c>
      <c r="AA260">
        <v>5.56</v>
      </c>
      <c r="AB260">
        <v>0</v>
      </c>
      <c r="AC260">
        <v>0</v>
      </c>
      <c r="AD260">
        <v>0</v>
      </c>
      <c r="AE260">
        <v>5.56</v>
      </c>
      <c r="AF260">
        <v>0</v>
      </c>
      <c r="AG260">
        <v>0</v>
      </c>
      <c r="AH260">
        <v>0</v>
      </c>
      <c r="AI260">
        <v>1</v>
      </c>
      <c r="AJ260">
        <v>1</v>
      </c>
      <c r="AK260">
        <v>1</v>
      </c>
      <c r="AL260">
        <v>1</v>
      </c>
      <c r="AM260">
        <v>-2</v>
      </c>
      <c r="AN260">
        <v>0</v>
      </c>
      <c r="AO260">
        <v>0</v>
      </c>
      <c r="AP260">
        <v>0</v>
      </c>
      <c r="AQ260">
        <v>1</v>
      </c>
      <c r="AR260">
        <v>0</v>
      </c>
      <c r="AS260" t="s">
        <v>3</v>
      </c>
      <c r="AT260">
        <v>3.5760000000000001</v>
      </c>
      <c r="AU260" t="s">
        <v>3</v>
      </c>
      <c r="AV260">
        <v>0</v>
      </c>
      <c r="AW260">
        <v>2</v>
      </c>
      <c r="AX260">
        <v>65171746</v>
      </c>
      <c r="AY260">
        <v>1</v>
      </c>
      <c r="AZ260">
        <v>0</v>
      </c>
      <c r="BA260">
        <v>266</v>
      </c>
      <c r="BB260">
        <v>1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19.882559999999998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1</v>
      </c>
      <c r="BQ260">
        <v>19.882559999999998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1</v>
      </c>
      <c r="CV260">
        <v>0</v>
      </c>
      <c r="CW260">
        <v>0</v>
      </c>
      <c r="CX260">
        <f>ROUND(Y260*Source!I169,7)</f>
        <v>0.85824</v>
      </c>
      <c r="CY260">
        <f t="shared" si="91"/>
        <v>5.56</v>
      </c>
      <c r="CZ260">
        <f t="shared" si="92"/>
        <v>5.56</v>
      </c>
      <c r="DA260">
        <f t="shared" si="93"/>
        <v>1</v>
      </c>
      <c r="DB260">
        <f t="shared" si="85"/>
        <v>19.88</v>
      </c>
      <c r="DC260">
        <f t="shared" si="86"/>
        <v>0</v>
      </c>
      <c r="DD260" t="s">
        <v>3</v>
      </c>
      <c r="DE260" t="s">
        <v>3</v>
      </c>
      <c r="DF260">
        <f>ROUND(ROUND(AE260,2)*CX260,2)</f>
        <v>4.7699999999999996</v>
      </c>
      <c r="DG260">
        <f t="shared" si="94"/>
        <v>0</v>
      </c>
      <c r="DH260">
        <f t="shared" si="90"/>
        <v>0</v>
      </c>
      <c r="DI260">
        <f t="shared" si="77"/>
        <v>0</v>
      </c>
      <c r="DJ260">
        <f t="shared" si="95"/>
        <v>4.7699999999999996</v>
      </c>
      <c r="DK260">
        <v>1</v>
      </c>
      <c r="DL260" t="s">
        <v>3</v>
      </c>
      <c r="DM260">
        <v>0</v>
      </c>
      <c r="DN260" t="s">
        <v>3</v>
      </c>
      <c r="DO260">
        <v>0</v>
      </c>
    </row>
    <row r="261" spans="1:119" x14ac:dyDescent="0.2">
      <c r="A261">
        <f>ROW(Source!A169)</f>
        <v>169</v>
      </c>
      <c r="B261">
        <v>65170852</v>
      </c>
      <c r="C261">
        <v>65171723</v>
      </c>
      <c r="D261">
        <v>56578257</v>
      </c>
      <c r="E261">
        <v>1</v>
      </c>
      <c r="F261">
        <v>1</v>
      </c>
      <c r="G261">
        <v>1</v>
      </c>
      <c r="H261">
        <v>3</v>
      </c>
      <c r="I261" t="s">
        <v>744</v>
      </c>
      <c r="J261" t="s">
        <v>745</v>
      </c>
      <c r="K261" t="s">
        <v>746</v>
      </c>
      <c r="L261">
        <v>1301</v>
      </c>
      <c r="N261">
        <v>1003</v>
      </c>
      <c r="O261" t="s">
        <v>747</v>
      </c>
      <c r="P261" t="s">
        <v>747</v>
      </c>
      <c r="Q261">
        <v>1</v>
      </c>
      <c r="W261">
        <v>0</v>
      </c>
      <c r="X261">
        <v>971772098</v>
      </c>
      <c r="Y261">
        <f t="shared" ref="Y261:Y292" si="96">AT261</f>
        <v>81.67</v>
      </c>
      <c r="AA261">
        <v>5.64</v>
      </c>
      <c r="AB261">
        <v>0</v>
      </c>
      <c r="AC261">
        <v>0</v>
      </c>
      <c r="AD261">
        <v>0</v>
      </c>
      <c r="AE261">
        <v>5.87</v>
      </c>
      <c r="AF261">
        <v>0</v>
      </c>
      <c r="AG261">
        <v>0</v>
      </c>
      <c r="AH261">
        <v>0</v>
      </c>
      <c r="AI261">
        <v>0.96</v>
      </c>
      <c r="AJ261">
        <v>1</v>
      </c>
      <c r="AK261">
        <v>1</v>
      </c>
      <c r="AL261">
        <v>1</v>
      </c>
      <c r="AM261">
        <v>2</v>
      </c>
      <c r="AN261">
        <v>0</v>
      </c>
      <c r="AO261">
        <v>0</v>
      </c>
      <c r="AP261">
        <v>0</v>
      </c>
      <c r="AQ261">
        <v>1</v>
      </c>
      <c r="AR261">
        <v>0</v>
      </c>
      <c r="AS261" t="s">
        <v>3</v>
      </c>
      <c r="AT261">
        <v>81.67</v>
      </c>
      <c r="AU261" t="s">
        <v>3</v>
      </c>
      <c r="AV261">
        <v>0</v>
      </c>
      <c r="AW261">
        <v>2</v>
      </c>
      <c r="AX261">
        <v>65171747</v>
      </c>
      <c r="AY261">
        <v>1</v>
      </c>
      <c r="AZ261">
        <v>0</v>
      </c>
      <c r="BA261">
        <v>267</v>
      </c>
      <c r="BB261">
        <v>1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479.40290000000005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1</v>
      </c>
      <c r="BQ261">
        <v>479.40290000000005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1</v>
      </c>
      <c r="CV261">
        <v>0</v>
      </c>
      <c r="CW261">
        <v>0</v>
      </c>
      <c r="CX261">
        <f>ROUND(Y261*Source!I169,7)</f>
        <v>19.6008</v>
      </c>
      <c r="CY261">
        <f t="shared" si="91"/>
        <v>5.64</v>
      </c>
      <c r="CZ261">
        <f t="shared" si="92"/>
        <v>5.87</v>
      </c>
      <c r="DA261">
        <f t="shared" si="93"/>
        <v>0.96</v>
      </c>
      <c r="DB261">
        <f t="shared" ref="DB261:DB292" si="97">ROUND(ROUND(AT261*CZ261,2),6)</f>
        <v>479.4</v>
      </c>
      <c r="DC261">
        <f t="shared" ref="DC261:DC292" si="98">ROUND(ROUND(AT261*AG261,2),6)</f>
        <v>0</v>
      </c>
      <c r="DD261" t="s">
        <v>3</v>
      </c>
      <c r="DE261" t="s">
        <v>3</v>
      </c>
      <c r="DF261">
        <f>ROUND(ROUND(AE261*AI261,2)*CX261,2)</f>
        <v>110.55</v>
      </c>
      <c r="DG261">
        <f t="shared" si="94"/>
        <v>0</v>
      </c>
      <c r="DH261">
        <f t="shared" si="90"/>
        <v>0</v>
      </c>
      <c r="DI261">
        <f t="shared" si="77"/>
        <v>0</v>
      </c>
      <c r="DJ261">
        <f t="shared" si="95"/>
        <v>110.55</v>
      </c>
      <c r="DK261">
        <v>0</v>
      </c>
      <c r="DL261" t="s">
        <v>3</v>
      </c>
      <c r="DM261">
        <v>0</v>
      </c>
      <c r="DN261" t="s">
        <v>3</v>
      </c>
      <c r="DO261">
        <v>0</v>
      </c>
    </row>
    <row r="262" spans="1:119" x14ac:dyDescent="0.2">
      <c r="A262">
        <f>ROW(Source!A169)</f>
        <v>169</v>
      </c>
      <c r="B262">
        <v>65170852</v>
      </c>
      <c r="C262">
        <v>65171723</v>
      </c>
      <c r="D262">
        <v>56579266</v>
      </c>
      <c r="E262">
        <v>1</v>
      </c>
      <c r="F262">
        <v>1</v>
      </c>
      <c r="G262">
        <v>1</v>
      </c>
      <c r="H262">
        <v>3</v>
      </c>
      <c r="I262" t="s">
        <v>550</v>
      </c>
      <c r="J262" t="s">
        <v>551</v>
      </c>
      <c r="K262" t="s">
        <v>552</v>
      </c>
      <c r="L262">
        <v>1346</v>
      </c>
      <c r="N262">
        <v>1009</v>
      </c>
      <c r="O262" t="s">
        <v>549</v>
      </c>
      <c r="P262" t="s">
        <v>549</v>
      </c>
      <c r="Q262">
        <v>1</v>
      </c>
      <c r="W262">
        <v>0</v>
      </c>
      <c r="X262">
        <v>-1545686836</v>
      </c>
      <c r="Y262">
        <f t="shared" si="96"/>
        <v>0.48</v>
      </c>
      <c r="AA262">
        <v>147.85</v>
      </c>
      <c r="AB262">
        <v>0</v>
      </c>
      <c r="AC262">
        <v>0</v>
      </c>
      <c r="AD262">
        <v>0</v>
      </c>
      <c r="AE262">
        <v>155.63</v>
      </c>
      <c r="AF262">
        <v>0</v>
      </c>
      <c r="AG262">
        <v>0</v>
      </c>
      <c r="AH262">
        <v>0</v>
      </c>
      <c r="AI262">
        <v>0.95</v>
      </c>
      <c r="AJ262">
        <v>1</v>
      </c>
      <c r="AK262">
        <v>1</v>
      </c>
      <c r="AL262">
        <v>1</v>
      </c>
      <c r="AM262">
        <v>2</v>
      </c>
      <c r="AN262">
        <v>0</v>
      </c>
      <c r="AO262">
        <v>0</v>
      </c>
      <c r="AP262">
        <v>0</v>
      </c>
      <c r="AQ262">
        <v>1</v>
      </c>
      <c r="AR262">
        <v>0</v>
      </c>
      <c r="AS262" t="s">
        <v>3</v>
      </c>
      <c r="AT262">
        <v>0.48</v>
      </c>
      <c r="AU262" t="s">
        <v>3</v>
      </c>
      <c r="AV262">
        <v>0</v>
      </c>
      <c r="AW262">
        <v>2</v>
      </c>
      <c r="AX262">
        <v>65171748</v>
      </c>
      <c r="AY262">
        <v>1</v>
      </c>
      <c r="AZ262">
        <v>0</v>
      </c>
      <c r="BA262">
        <v>268</v>
      </c>
      <c r="BB262">
        <v>1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74.702399999999997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1</v>
      </c>
      <c r="BQ262">
        <v>74.702399999999997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1</v>
      </c>
      <c r="CV262">
        <v>0</v>
      </c>
      <c r="CW262">
        <v>0</v>
      </c>
      <c r="CX262">
        <f>ROUND(Y262*Source!I169,7)</f>
        <v>0.1152</v>
      </c>
      <c r="CY262">
        <f t="shared" si="91"/>
        <v>147.85</v>
      </c>
      <c r="CZ262">
        <f t="shared" si="92"/>
        <v>155.63</v>
      </c>
      <c r="DA262">
        <f t="shared" si="93"/>
        <v>0.95</v>
      </c>
      <c r="DB262">
        <f t="shared" si="97"/>
        <v>74.7</v>
      </c>
      <c r="DC262">
        <f t="shared" si="98"/>
        <v>0</v>
      </c>
      <c r="DD262" t="s">
        <v>3</v>
      </c>
      <c r="DE262" t="s">
        <v>3</v>
      </c>
      <c r="DF262">
        <f>ROUND(ROUND(AE262*AI262,2)*CX262,2)</f>
        <v>17.03</v>
      </c>
      <c r="DG262">
        <f t="shared" si="94"/>
        <v>0</v>
      </c>
      <c r="DH262">
        <f t="shared" si="90"/>
        <v>0</v>
      </c>
      <c r="DI262">
        <f t="shared" si="77"/>
        <v>0</v>
      </c>
      <c r="DJ262">
        <f t="shared" si="95"/>
        <v>17.03</v>
      </c>
      <c r="DK262">
        <v>0</v>
      </c>
      <c r="DL262" t="s">
        <v>3</v>
      </c>
      <c r="DM262">
        <v>0</v>
      </c>
      <c r="DN262" t="s">
        <v>3</v>
      </c>
      <c r="DO262">
        <v>0</v>
      </c>
    </row>
    <row r="263" spans="1:119" x14ac:dyDescent="0.2">
      <c r="A263">
        <f>ROW(Source!A169)</f>
        <v>169</v>
      </c>
      <c r="B263">
        <v>65170852</v>
      </c>
      <c r="C263">
        <v>65171723</v>
      </c>
      <c r="D263">
        <v>56594674</v>
      </c>
      <c r="E263">
        <v>1</v>
      </c>
      <c r="F263">
        <v>1</v>
      </c>
      <c r="G263">
        <v>1</v>
      </c>
      <c r="H263">
        <v>3</v>
      </c>
      <c r="I263" t="s">
        <v>748</v>
      </c>
      <c r="J263" t="s">
        <v>749</v>
      </c>
      <c r="K263" t="s">
        <v>750</v>
      </c>
      <c r="L263">
        <v>1348</v>
      </c>
      <c r="N263">
        <v>1009</v>
      </c>
      <c r="O263" t="s">
        <v>94</v>
      </c>
      <c r="P263" t="s">
        <v>94</v>
      </c>
      <c r="Q263">
        <v>1000</v>
      </c>
      <c r="W263">
        <v>0</v>
      </c>
      <c r="X263">
        <v>980896612</v>
      </c>
      <c r="Y263">
        <f t="shared" si="96"/>
        <v>1E-3</v>
      </c>
      <c r="AA263">
        <v>616562.72</v>
      </c>
      <c r="AB263">
        <v>0</v>
      </c>
      <c r="AC263">
        <v>0</v>
      </c>
      <c r="AD263">
        <v>0</v>
      </c>
      <c r="AE263">
        <v>790465.03</v>
      </c>
      <c r="AF263">
        <v>0</v>
      </c>
      <c r="AG263">
        <v>0</v>
      </c>
      <c r="AH263">
        <v>0</v>
      </c>
      <c r="AI263">
        <v>0.78</v>
      </c>
      <c r="AJ263">
        <v>1</v>
      </c>
      <c r="AK263">
        <v>1</v>
      </c>
      <c r="AL263">
        <v>1</v>
      </c>
      <c r="AM263">
        <v>2</v>
      </c>
      <c r="AN263">
        <v>0</v>
      </c>
      <c r="AO263">
        <v>0</v>
      </c>
      <c r="AP263">
        <v>0</v>
      </c>
      <c r="AQ263">
        <v>1</v>
      </c>
      <c r="AR263">
        <v>0</v>
      </c>
      <c r="AS263" t="s">
        <v>3</v>
      </c>
      <c r="AT263">
        <v>1E-3</v>
      </c>
      <c r="AU263" t="s">
        <v>3</v>
      </c>
      <c r="AV263">
        <v>0</v>
      </c>
      <c r="AW263">
        <v>2</v>
      </c>
      <c r="AX263">
        <v>65171749</v>
      </c>
      <c r="AY263">
        <v>1</v>
      </c>
      <c r="AZ263">
        <v>0</v>
      </c>
      <c r="BA263">
        <v>269</v>
      </c>
      <c r="BB263">
        <v>1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790.46503000000007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1</v>
      </c>
      <c r="BQ263">
        <v>790.46503000000007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1</v>
      </c>
      <c r="CV263">
        <v>0</v>
      </c>
      <c r="CW263">
        <v>0</v>
      </c>
      <c r="CX263">
        <f>ROUND(Y263*Source!I169,7)</f>
        <v>2.4000000000000001E-4</v>
      </c>
      <c r="CY263">
        <f t="shared" si="91"/>
        <v>616562.72</v>
      </c>
      <c r="CZ263">
        <f t="shared" si="92"/>
        <v>790465.03</v>
      </c>
      <c r="DA263">
        <f t="shared" si="93"/>
        <v>0.78</v>
      </c>
      <c r="DB263">
        <f t="shared" si="97"/>
        <v>790.47</v>
      </c>
      <c r="DC263">
        <f t="shared" si="98"/>
        <v>0</v>
      </c>
      <c r="DD263" t="s">
        <v>3</v>
      </c>
      <c r="DE263" t="s">
        <v>3</v>
      </c>
      <c r="DF263">
        <f>ROUND(ROUND(AE263*AI263,2)*CX263,2)</f>
        <v>147.97999999999999</v>
      </c>
      <c r="DG263">
        <f t="shared" si="94"/>
        <v>0</v>
      </c>
      <c r="DH263">
        <f t="shared" si="90"/>
        <v>0</v>
      </c>
      <c r="DI263">
        <f t="shared" si="77"/>
        <v>0</v>
      </c>
      <c r="DJ263">
        <f t="shared" si="95"/>
        <v>147.97999999999999</v>
      </c>
      <c r="DK263">
        <v>0</v>
      </c>
      <c r="DL263" t="s">
        <v>3</v>
      </c>
      <c r="DM263">
        <v>0</v>
      </c>
      <c r="DN263" t="s">
        <v>3</v>
      </c>
      <c r="DO263">
        <v>0</v>
      </c>
    </row>
    <row r="264" spans="1:119" x14ac:dyDescent="0.2">
      <c r="A264">
        <f>ROW(Source!A169)</f>
        <v>169</v>
      </c>
      <c r="B264">
        <v>65170852</v>
      </c>
      <c r="C264">
        <v>65171723</v>
      </c>
      <c r="D264">
        <v>56610213</v>
      </c>
      <c r="E264">
        <v>1</v>
      </c>
      <c r="F264">
        <v>1</v>
      </c>
      <c r="G264">
        <v>1</v>
      </c>
      <c r="H264">
        <v>3</v>
      </c>
      <c r="I264" t="s">
        <v>751</v>
      </c>
      <c r="J264" t="s">
        <v>752</v>
      </c>
      <c r="K264" t="s">
        <v>753</v>
      </c>
      <c r="L264">
        <v>1348</v>
      </c>
      <c r="N264">
        <v>1009</v>
      </c>
      <c r="O264" t="s">
        <v>94</v>
      </c>
      <c r="P264" t="s">
        <v>94</v>
      </c>
      <c r="Q264">
        <v>1000</v>
      </c>
      <c r="W264">
        <v>0</v>
      </c>
      <c r="X264">
        <v>-1038139189</v>
      </c>
      <c r="Y264">
        <f t="shared" si="96"/>
        <v>1.6800000000000001E-3</v>
      </c>
      <c r="AA264">
        <v>376796.63</v>
      </c>
      <c r="AB264">
        <v>0</v>
      </c>
      <c r="AC264">
        <v>0</v>
      </c>
      <c r="AD264">
        <v>0</v>
      </c>
      <c r="AE264">
        <v>308849.7</v>
      </c>
      <c r="AF264">
        <v>0</v>
      </c>
      <c r="AG264">
        <v>0</v>
      </c>
      <c r="AH264">
        <v>0</v>
      </c>
      <c r="AI264">
        <v>1.22</v>
      </c>
      <c r="AJ264">
        <v>1</v>
      </c>
      <c r="AK264">
        <v>1</v>
      </c>
      <c r="AL264">
        <v>1</v>
      </c>
      <c r="AM264">
        <v>2</v>
      </c>
      <c r="AN264">
        <v>0</v>
      </c>
      <c r="AO264">
        <v>0</v>
      </c>
      <c r="AP264">
        <v>0</v>
      </c>
      <c r="AQ264">
        <v>1</v>
      </c>
      <c r="AR264">
        <v>0</v>
      </c>
      <c r="AS264" t="s">
        <v>3</v>
      </c>
      <c r="AT264">
        <v>1.6800000000000001E-3</v>
      </c>
      <c r="AU264" t="s">
        <v>3</v>
      </c>
      <c r="AV264">
        <v>0</v>
      </c>
      <c r="AW264">
        <v>2</v>
      </c>
      <c r="AX264">
        <v>65171750</v>
      </c>
      <c r="AY264">
        <v>1</v>
      </c>
      <c r="AZ264">
        <v>0</v>
      </c>
      <c r="BA264">
        <v>270</v>
      </c>
      <c r="BB264">
        <v>1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518.86749600000007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1</v>
      </c>
      <c r="BQ264">
        <v>518.86749600000007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1</v>
      </c>
      <c r="CV264">
        <v>0</v>
      </c>
      <c r="CW264">
        <v>0</v>
      </c>
      <c r="CX264">
        <f>ROUND(Y264*Source!I169,7)</f>
        <v>4.0319999999999999E-4</v>
      </c>
      <c r="CY264">
        <f t="shared" si="91"/>
        <v>376796.63</v>
      </c>
      <c r="CZ264">
        <f t="shared" si="92"/>
        <v>308849.7</v>
      </c>
      <c r="DA264">
        <f t="shared" si="93"/>
        <v>1.22</v>
      </c>
      <c r="DB264">
        <f t="shared" si="97"/>
        <v>518.87</v>
      </c>
      <c r="DC264">
        <f t="shared" si="98"/>
        <v>0</v>
      </c>
      <c r="DD264" t="s">
        <v>3</v>
      </c>
      <c r="DE264" t="s">
        <v>3</v>
      </c>
      <c r="DF264">
        <f>ROUND(ROUND(AE264*AI264,2)*CX264,2)</f>
        <v>151.91999999999999</v>
      </c>
      <c r="DG264">
        <f t="shared" si="94"/>
        <v>0</v>
      </c>
      <c r="DH264">
        <f t="shared" si="90"/>
        <v>0</v>
      </c>
      <c r="DI264">
        <f t="shared" si="77"/>
        <v>0</v>
      </c>
      <c r="DJ264">
        <f t="shared" si="95"/>
        <v>151.91999999999999</v>
      </c>
      <c r="DK264">
        <v>0</v>
      </c>
      <c r="DL264" t="s">
        <v>3</v>
      </c>
      <c r="DM264">
        <v>0</v>
      </c>
      <c r="DN264" t="s">
        <v>3</v>
      </c>
      <c r="DO264">
        <v>0</v>
      </c>
    </row>
    <row r="265" spans="1:119" x14ac:dyDescent="0.2">
      <c r="A265">
        <f>ROW(Source!A169)</f>
        <v>169</v>
      </c>
      <c r="B265">
        <v>65170852</v>
      </c>
      <c r="C265">
        <v>65171723</v>
      </c>
      <c r="D265">
        <v>56628095</v>
      </c>
      <c r="E265">
        <v>1</v>
      </c>
      <c r="F265">
        <v>1</v>
      </c>
      <c r="G265">
        <v>1</v>
      </c>
      <c r="H265">
        <v>3</v>
      </c>
      <c r="I265" t="s">
        <v>754</v>
      </c>
      <c r="J265" t="s">
        <v>755</v>
      </c>
      <c r="K265" t="s">
        <v>756</v>
      </c>
      <c r="L265">
        <v>1301</v>
      </c>
      <c r="N265">
        <v>1003</v>
      </c>
      <c r="O265" t="s">
        <v>747</v>
      </c>
      <c r="P265" t="s">
        <v>747</v>
      </c>
      <c r="Q265">
        <v>1</v>
      </c>
      <c r="W265">
        <v>0</v>
      </c>
      <c r="X265">
        <v>718052143</v>
      </c>
      <c r="Y265">
        <f t="shared" si="96"/>
        <v>51.3</v>
      </c>
      <c r="AA265">
        <v>101.75</v>
      </c>
      <c r="AB265">
        <v>0</v>
      </c>
      <c r="AC265">
        <v>0</v>
      </c>
      <c r="AD265">
        <v>0</v>
      </c>
      <c r="AE265">
        <v>73.2</v>
      </c>
      <c r="AF265">
        <v>0</v>
      </c>
      <c r="AG265">
        <v>0</v>
      </c>
      <c r="AH265">
        <v>0</v>
      </c>
      <c r="AI265">
        <v>1.39</v>
      </c>
      <c r="AJ265">
        <v>1</v>
      </c>
      <c r="AK265">
        <v>1</v>
      </c>
      <c r="AL265">
        <v>1</v>
      </c>
      <c r="AM265">
        <v>2</v>
      </c>
      <c r="AN265">
        <v>0</v>
      </c>
      <c r="AO265">
        <v>0</v>
      </c>
      <c r="AP265">
        <v>0</v>
      </c>
      <c r="AQ265">
        <v>1</v>
      </c>
      <c r="AR265">
        <v>0</v>
      </c>
      <c r="AS265" t="s">
        <v>3</v>
      </c>
      <c r="AT265">
        <v>51.3</v>
      </c>
      <c r="AU265" t="s">
        <v>3</v>
      </c>
      <c r="AV265">
        <v>0</v>
      </c>
      <c r="AW265">
        <v>2</v>
      </c>
      <c r="AX265">
        <v>65171751</v>
      </c>
      <c r="AY265">
        <v>1</v>
      </c>
      <c r="AZ265">
        <v>0</v>
      </c>
      <c r="BA265">
        <v>271</v>
      </c>
      <c r="BB265">
        <v>1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3755.16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1</v>
      </c>
      <c r="BQ265">
        <v>3755.16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1</v>
      </c>
      <c r="CV265">
        <v>0</v>
      </c>
      <c r="CW265">
        <v>0</v>
      </c>
      <c r="CX265">
        <f>ROUND(Y265*Source!I169,7)</f>
        <v>12.311999999999999</v>
      </c>
      <c r="CY265">
        <f t="shared" si="91"/>
        <v>101.75</v>
      </c>
      <c r="CZ265">
        <f t="shared" si="92"/>
        <v>73.2</v>
      </c>
      <c r="DA265">
        <f t="shared" si="93"/>
        <v>1.39</v>
      </c>
      <c r="DB265">
        <f t="shared" si="97"/>
        <v>3755.16</v>
      </c>
      <c r="DC265">
        <f t="shared" si="98"/>
        <v>0</v>
      </c>
      <c r="DD265" t="s">
        <v>3</v>
      </c>
      <c r="DE265" t="s">
        <v>3</v>
      </c>
      <c r="DF265">
        <f>ROUND(ROUND(AE265*AI265,2)*CX265,2)</f>
        <v>1252.75</v>
      </c>
      <c r="DG265">
        <f t="shared" si="94"/>
        <v>0</v>
      </c>
      <c r="DH265">
        <f t="shared" si="90"/>
        <v>0</v>
      </c>
      <c r="DI265">
        <f t="shared" si="77"/>
        <v>0</v>
      </c>
      <c r="DJ265">
        <f t="shared" si="95"/>
        <v>1252.75</v>
      </c>
      <c r="DK265">
        <v>0</v>
      </c>
      <c r="DL265" t="s">
        <v>3</v>
      </c>
      <c r="DM265">
        <v>0</v>
      </c>
      <c r="DN265" t="s">
        <v>3</v>
      </c>
      <c r="DO265">
        <v>0</v>
      </c>
    </row>
    <row r="266" spans="1:119" x14ac:dyDescent="0.2">
      <c r="A266">
        <f>ROW(Source!A170)</f>
        <v>170</v>
      </c>
      <c r="B266">
        <v>65170852</v>
      </c>
      <c r="C266">
        <v>65171753</v>
      </c>
      <c r="D266">
        <v>37064878</v>
      </c>
      <c r="E266">
        <v>108</v>
      </c>
      <c r="F266">
        <v>1</v>
      </c>
      <c r="G266">
        <v>1</v>
      </c>
      <c r="H266">
        <v>1</v>
      </c>
      <c r="I266" t="s">
        <v>715</v>
      </c>
      <c r="J266" t="s">
        <v>3</v>
      </c>
      <c r="K266" t="s">
        <v>716</v>
      </c>
      <c r="L266">
        <v>1191</v>
      </c>
      <c r="N266">
        <v>1013</v>
      </c>
      <c r="O266" t="s">
        <v>509</v>
      </c>
      <c r="P266" t="s">
        <v>509</v>
      </c>
      <c r="Q266">
        <v>1</v>
      </c>
      <c r="W266">
        <v>0</v>
      </c>
      <c r="X266">
        <v>-2012709214</v>
      </c>
      <c r="Y266">
        <f t="shared" si="96"/>
        <v>10.3</v>
      </c>
      <c r="AA266">
        <v>0</v>
      </c>
      <c r="AB266">
        <v>0</v>
      </c>
      <c r="AC266">
        <v>0</v>
      </c>
      <c r="AD266">
        <v>479.56</v>
      </c>
      <c r="AE266">
        <v>0</v>
      </c>
      <c r="AF266">
        <v>0</v>
      </c>
      <c r="AG266">
        <v>0</v>
      </c>
      <c r="AH266">
        <v>479.56</v>
      </c>
      <c r="AI266">
        <v>1</v>
      </c>
      <c r="AJ266">
        <v>1</v>
      </c>
      <c r="AK266">
        <v>1</v>
      </c>
      <c r="AL266">
        <v>1</v>
      </c>
      <c r="AM266">
        <v>-2</v>
      </c>
      <c r="AN266">
        <v>0</v>
      </c>
      <c r="AO266">
        <v>0</v>
      </c>
      <c r="AP266">
        <v>1</v>
      </c>
      <c r="AQ266">
        <v>1</v>
      </c>
      <c r="AR266">
        <v>0</v>
      </c>
      <c r="AS266" t="s">
        <v>3</v>
      </c>
      <c r="AT266">
        <v>10.3</v>
      </c>
      <c r="AU266" t="s">
        <v>3</v>
      </c>
      <c r="AV266">
        <v>1</v>
      </c>
      <c r="AW266">
        <v>2</v>
      </c>
      <c r="AX266">
        <v>65171761</v>
      </c>
      <c r="AY266">
        <v>1</v>
      </c>
      <c r="AZ266">
        <v>0</v>
      </c>
      <c r="BA266">
        <v>273</v>
      </c>
      <c r="BB266">
        <v>1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4939.4680000000008</v>
      </c>
      <c r="BN266">
        <v>10.3</v>
      </c>
      <c r="BO266">
        <v>0</v>
      </c>
      <c r="BP266">
        <v>1</v>
      </c>
      <c r="BQ266">
        <v>0</v>
      </c>
      <c r="BR266">
        <v>0</v>
      </c>
      <c r="BS266">
        <v>0</v>
      </c>
      <c r="BT266">
        <v>4939.4680000000008</v>
      </c>
      <c r="BU266">
        <v>10.3</v>
      </c>
      <c r="BV266">
        <v>0</v>
      </c>
      <c r="BW266">
        <v>1</v>
      </c>
      <c r="CU266">
        <f>ROUND(AT266*Source!I170*AH266*AL266,2)</f>
        <v>3951.57</v>
      </c>
      <c r="CV266">
        <f>ROUND(Y266*Source!I170,7)</f>
        <v>8.24</v>
      </c>
      <c r="CW266">
        <v>0</v>
      </c>
      <c r="CX266">
        <f>ROUND(Y266*Source!I170,7)</f>
        <v>8.24</v>
      </c>
      <c r="CY266">
        <f>AD266</f>
        <v>479.56</v>
      </c>
      <c r="CZ266">
        <f>AH266</f>
        <v>479.56</v>
      </c>
      <c r="DA266">
        <f>AL266</f>
        <v>1</v>
      </c>
      <c r="DB266">
        <f t="shared" si="97"/>
        <v>4939.47</v>
      </c>
      <c r="DC266">
        <f t="shared" si="98"/>
        <v>0</v>
      </c>
      <c r="DD266" t="s">
        <v>3</v>
      </c>
      <c r="DE266" t="s">
        <v>3</v>
      </c>
      <c r="DF266">
        <f>ROUND(ROUND(AE266,2)*CX266,2)</f>
        <v>0</v>
      </c>
      <c r="DG266">
        <f t="shared" si="94"/>
        <v>0</v>
      </c>
      <c r="DH266">
        <f t="shared" si="90"/>
        <v>0</v>
      </c>
      <c r="DI266">
        <f t="shared" si="77"/>
        <v>3951.57</v>
      </c>
      <c r="DJ266">
        <f>DI266</f>
        <v>3951.57</v>
      </c>
      <c r="DK266">
        <v>1</v>
      </c>
      <c r="DL266" t="s">
        <v>3</v>
      </c>
      <c r="DM266">
        <v>0</v>
      </c>
      <c r="DN266" t="s">
        <v>3</v>
      </c>
      <c r="DO266">
        <v>0</v>
      </c>
    </row>
    <row r="267" spans="1:119" x14ac:dyDescent="0.2">
      <c r="A267">
        <f>ROW(Source!A170)</f>
        <v>170</v>
      </c>
      <c r="B267">
        <v>65170852</v>
      </c>
      <c r="C267">
        <v>65171753</v>
      </c>
      <c r="D267">
        <v>37064876</v>
      </c>
      <c r="E267">
        <v>108</v>
      </c>
      <c r="F267">
        <v>1</v>
      </c>
      <c r="G267">
        <v>1</v>
      </c>
      <c r="H267">
        <v>1</v>
      </c>
      <c r="I267" t="s">
        <v>510</v>
      </c>
      <c r="J267" t="s">
        <v>3</v>
      </c>
      <c r="K267" t="s">
        <v>511</v>
      </c>
      <c r="L267">
        <v>1191</v>
      </c>
      <c r="N267">
        <v>1013</v>
      </c>
      <c r="O267" t="s">
        <v>509</v>
      </c>
      <c r="P267" t="s">
        <v>509</v>
      </c>
      <c r="Q267">
        <v>1</v>
      </c>
      <c r="W267">
        <v>0</v>
      </c>
      <c r="X267">
        <v>-1417349443</v>
      </c>
      <c r="Y267">
        <f t="shared" si="96"/>
        <v>0.54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1</v>
      </c>
      <c r="AJ267">
        <v>1</v>
      </c>
      <c r="AK267">
        <v>1</v>
      </c>
      <c r="AL267">
        <v>1</v>
      </c>
      <c r="AM267">
        <v>-2</v>
      </c>
      <c r="AN267">
        <v>0</v>
      </c>
      <c r="AO267">
        <v>0</v>
      </c>
      <c r="AP267">
        <v>1</v>
      </c>
      <c r="AQ267">
        <v>1</v>
      </c>
      <c r="AR267">
        <v>0</v>
      </c>
      <c r="AS267" t="s">
        <v>3</v>
      </c>
      <c r="AT267">
        <v>0.54</v>
      </c>
      <c r="AU267" t="s">
        <v>3</v>
      </c>
      <c r="AV267">
        <v>2</v>
      </c>
      <c r="AW267">
        <v>2</v>
      </c>
      <c r="AX267">
        <v>65171762</v>
      </c>
      <c r="AY267">
        <v>1</v>
      </c>
      <c r="AZ267">
        <v>0</v>
      </c>
      <c r="BA267">
        <v>274</v>
      </c>
      <c r="BB267">
        <v>1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CV267">
        <v>0</v>
      </c>
      <c r="CW267">
        <v>0</v>
      </c>
      <c r="CX267">
        <f>ROUND(Y267*Source!I170,7)</f>
        <v>0.432</v>
      </c>
      <c r="CY267">
        <f>AD267</f>
        <v>0</v>
      </c>
      <c r="CZ267">
        <f>AH267</f>
        <v>0</v>
      </c>
      <c r="DA267">
        <f>AL267</f>
        <v>1</v>
      </c>
      <c r="DB267">
        <f t="shared" si="97"/>
        <v>0</v>
      </c>
      <c r="DC267">
        <f t="shared" si="98"/>
        <v>0</v>
      </c>
      <c r="DD267" t="s">
        <v>3</v>
      </c>
      <c r="DE267" t="s">
        <v>3</v>
      </c>
      <c r="DF267">
        <f>ROUND(ROUND(AE267,2)*CX267,2)</f>
        <v>0</v>
      </c>
      <c r="DG267">
        <f t="shared" si="94"/>
        <v>0</v>
      </c>
      <c r="DH267">
        <f t="shared" si="90"/>
        <v>0</v>
      </c>
      <c r="DI267">
        <f t="shared" si="77"/>
        <v>0</v>
      </c>
      <c r="DJ267">
        <f>DI267</f>
        <v>0</v>
      </c>
      <c r="DK267">
        <v>0</v>
      </c>
      <c r="DL267" t="s">
        <v>3</v>
      </c>
      <c r="DM267">
        <v>0</v>
      </c>
      <c r="DN267" t="s">
        <v>3</v>
      </c>
      <c r="DO267">
        <v>0</v>
      </c>
    </row>
    <row r="268" spans="1:119" x14ac:dyDescent="0.2">
      <c r="A268">
        <f>ROW(Source!A170)</f>
        <v>170</v>
      </c>
      <c r="B268">
        <v>65170852</v>
      </c>
      <c r="C268">
        <v>65171753</v>
      </c>
      <c r="D268">
        <v>56571417</v>
      </c>
      <c r="E268">
        <v>1</v>
      </c>
      <c r="F268">
        <v>1</v>
      </c>
      <c r="G268">
        <v>1</v>
      </c>
      <c r="H268">
        <v>2</v>
      </c>
      <c r="I268" t="s">
        <v>512</v>
      </c>
      <c r="J268" t="s">
        <v>513</v>
      </c>
      <c r="K268" t="s">
        <v>514</v>
      </c>
      <c r="L268">
        <v>1368</v>
      </c>
      <c r="N268">
        <v>1011</v>
      </c>
      <c r="O268" t="s">
        <v>515</v>
      </c>
      <c r="P268" t="s">
        <v>515</v>
      </c>
      <c r="Q268">
        <v>1</v>
      </c>
      <c r="W268">
        <v>0</v>
      </c>
      <c r="X268">
        <v>-848025172</v>
      </c>
      <c r="Y268">
        <f t="shared" si="96"/>
        <v>0.27</v>
      </c>
      <c r="AA268">
        <v>0</v>
      </c>
      <c r="AB268">
        <v>1551.19</v>
      </c>
      <c r="AC268">
        <v>658.94</v>
      </c>
      <c r="AD268">
        <v>0</v>
      </c>
      <c r="AE268">
        <v>0</v>
      </c>
      <c r="AF268">
        <v>1551.19</v>
      </c>
      <c r="AG268">
        <v>658.94</v>
      </c>
      <c r="AH268">
        <v>0</v>
      </c>
      <c r="AI268">
        <v>1</v>
      </c>
      <c r="AJ268">
        <v>1</v>
      </c>
      <c r="AK268">
        <v>1</v>
      </c>
      <c r="AL268">
        <v>1</v>
      </c>
      <c r="AM268">
        <v>-2</v>
      </c>
      <c r="AN268">
        <v>0</v>
      </c>
      <c r="AO268">
        <v>0</v>
      </c>
      <c r="AP268">
        <v>1</v>
      </c>
      <c r="AQ268">
        <v>1</v>
      </c>
      <c r="AR268">
        <v>0</v>
      </c>
      <c r="AS268" t="s">
        <v>3</v>
      </c>
      <c r="AT268">
        <v>0.27</v>
      </c>
      <c r="AU268" t="s">
        <v>3</v>
      </c>
      <c r="AV268">
        <v>1</v>
      </c>
      <c r="AW268">
        <v>2</v>
      </c>
      <c r="AX268">
        <v>65171763</v>
      </c>
      <c r="AY268">
        <v>1</v>
      </c>
      <c r="AZ268">
        <v>0</v>
      </c>
      <c r="BA268">
        <v>275</v>
      </c>
      <c r="BB268">
        <v>1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418.82130000000006</v>
      </c>
      <c r="BL268">
        <v>177.91380000000004</v>
      </c>
      <c r="BM268">
        <v>0</v>
      </c>
      <c r="BN268">
        <v>0</v>
      </c>
      <c r="BO268">
        <v>0.27</v>
      </c>
      <c r="BP268">
        <v>1</v>
      </c>
      <c r="BQ268">
        <v>0</v>
      </c>
      <c r="BR268">
        <v>418.82130000000006</v>
      </c>
      <c r="BS268">
        <v>177.91380000000004</v>
      </c>
      <c r="BT268">
        <v>0</v>
      </c>
      <c r="BU268">
        <v>0</v>
      </c>
      <c r="BV268">
        <v>0.27</v>
      </c>
      <c r="BW268">
        <v>1</v>
      </c>
      <c r="CV268">
        <v>0</v>
      </c>
      <c r="CW268">
        <f>ROUND(Y268*Source!I170*DO268,7)</f>
        <v>0.216</v>
      </c>
      <c r="CX268">
        <f>ROUND(Y268*Source!I170,7)</f>
        <v>0.216</v>
      </c>
      <c r="CY268">
        <f>AB268</f>
        <v>1551.19</v>
      </c>
      <c r="CZ268">
        <f>AF268</f>
        <v>1551.19</v>
      </c>
      <c r="DA268">
        <f>AJ268</f>
        <v>1</v>
      </c>
      <c r="DB268">
        <f t="shared" si="97"/>
        <v>418.82</v>
      </c>
      <c r="DC268">
        <f t="shared" si="98"/>
        <v>177.91</v>
      </c>
      <c r="DD268" t="s">
        <v>3</v>
      </c>
      <c r="DE268" t="s">
        <v>3</v>
      </c>
      <c r="DF268">
        <f>ROUND(ROUND(AE268,2)*CX268,2)</f>
        <v>0</v>
      </c>
      <c r="DG268">
        <f t="shared" si="94"/>
        <v>335.06</v>
      </c>
      <c r="DH268">
        <f t="shared" si="90"/>
        <v>142.33000000000001</v>
      </c>
      <c r="DI268">
        <f t="shared" si="77"/>
        <v>0</v>
      </c>
      <c r="DJ268">
        <f>DG268+DH268</f>
        <v>477.39</v>
      </c>
      <c r="DK268">
        <v>1</v>
      </c>
      <c r="DL268" t="s">
        <v>516</v>
      </c>
      <c r="DM268">
        <v>6</v>
      </c>
      <c r="DN268" t="s">
        <v>509</v>
      </c>
      <c r="DO268">
        <v>1</v>
      </c>
    </row>
    <row r="269" spans="1:119" x14ac:dyDescent="0.2">
      <c r="A269">
        <f>ROW(Source!A170)</f>
        <v>170</v>
      </c>
      <c r="B269">
        <v>65170852</v>
      </c>
      <c r="C269">
        <v>65171753</v>
      </c>
      <c r="D269">
        <v>56572833</v>
      </c>
      <c r="E269">
        <v>1</v>
      </c>
      <c r="F269">
        <v>1</v>
      </c>
      <c r="G269">
        <v>1</v>
      </c>
      <c r="H269">
        <v>2</v>
      </c>
      <c r="I269" t="s">
        <v>520</v>
      </c>
      <c r="J269" t="s">
        <v>521</v>
      </c>
      <c r="K269" t="s">
        <v>522</v>
      </c>
      <c r="L269">
        <v>1368</v>
      </c>
      <c r="N269">
        <v>1011</v>
      </c>
      <c r="O269" t="s">
        <v>515</v>
      </c>
      <c r="P269" t="s">
        <v>515</v>
      </c>
      <c r="Q269">
        <v>1</v>
      </c>
      <c r="W269">
        <v>0</v>
      </c>
      <c r="X269">
        <v>1230426758</v>
      </c>
      <c r="Y269">
        <f t="shared" si="96"/>
        <v>0.27</v>
      </c>
      <c r="AA269">
        <v>0</v>
      </c>
      <c r="AB269">
        <v>578.28</v>
      </c>
      <c r="AC269">
        <v>490.55</v>
      </c>
      <c r="AD269">
        <v>0</v>
      </c>
      <c r="AE269">
        <v>0</v>
      </c>
      <c r="AF269">
        <v>477.92</v>
      </c>
      <c r="AG269">
        <v>490.55</v>
      </c>
      <c r="AH269">
        <v>0</v>
      </c>
      <c r="AI269">
        <v>1</v>
      </c>
      <c r="AJ269">
        <v>1.21</v>
      </c>
      <c r="AK269">
        <v>1</v>
      </c>
      <c r="AL269">
        <v>1</v>
      </c>
      <c r="AM269">
        <v>2</v>
      </c>
      <c r="AN269">
        <v>0</v>
      </c>
      <c r="AO269">
        <v>0</v>
      </c>
      <c r="AP269">
        <v>1</v>
      </c>
      <c r="AQ269">
        <v>1</v>
      </c>
      <c r="AR269">
        <v>0</v>
      </c>
      <c r="AS269" t="s">
        <v>3</v>
      </c>
      <c r="AT269">
        <v>0.27</v>
      </c>
      <c r="AU269" t="s">
        <v>3</v>
      </c>
      <c r="AV269">
        <v>1</v>
      </c>
      <c r="AW269">
        <v>2</v>
      </c>
      <c r="AX269">
        <v>65171764</v>
      </c>
      <c r="AY269">
        <v>1</v>
      </c>
      <c r="AZ269">
        <v>0</v>
      </c>
      <c r="BA269">
        <v>276</v>
      </c>
      <c r="BB269">
        <v>1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129.03840000000002</v>
      </c>
      <c r="BL269">
        <v>132.44850000000002</v>
      </c>
      <c r="BM269">
        <v>0</v>
      </c>
      <c r="BN269">
        <v>0</v>
      </c>
      <c r="BO269">
        <v>0.27</v>
      </c>
      <c r="BP269">
        <v>1</v>
      </c>
      <c r="BQ269">
        <v>0</v>
      </c>
      <c r="BR269">
        <v>129.03840000000002</v>
      </c>
      <c r="BS269">
        <v>132.44850000000002</v>
      </c>
      <c r="BT269">
        <v>0</v>
      </c>
      <c r="BU269">
        <v>0</v>
      </c>
      <c r="BV269">
        <v>0.27</v>
      </c>
      <c r="BW269">
        <v>1</v>
      </c>
      <c r="CV269">
        <v>0</v>
      </c>
      <c r="CW269">
        <f>ROUND(Y269*Source!I170*DO269,7)</f>
        <v>0.216</v>
      </c>
      <c r="CX269">
        <f>ROUND(Y269*Source!I170,7)</f>
        <v>0.216</v>
      </c>
      <c r="CY269">
        <f>AB269</f>
        <v>578.28</v>
      </c>
      <c r="CZ269">
        <f>AF269</f>
        <v>477.92</v>
      </c>
      <c r="DA269">
        <f>AJ269</f>
        <v>1.21</v>
      </c>
      <c r="DB269">
        <f t="shared" si="97"/>
        <v>129.04</v>
      </c>
      <c r="DC269">
        <f t="shared" si="98"/>
        <v>132.44999999999999</v>
      </c>
      <c r="DD269" t="s">
        <v>3</v>
      </c>
      <c r="DE269" t="s">
        <v>3</v>
      </c>
      <c r="DF269">
        <f>ROUND(ROUND(AE269,2)*CX269,2)</f>
        <v>0</v>
      </c>
      <c r="DG269">
        <f>ROUND(ROUND(AF269*AJ269,2)*CX269,2)</f>
        <v>124.91</v>
      </c>
      <c r="DH269">
        <f t="shared" si="90"/>
        <v>105.96</v>
      </c>
      <c r="DI269">
        <f t="shared" si="77"/>
        <v>0</v>
      </c>
      <c r="DJ269">
        <f>DG269+DH269</f>
        <v>230.87</v>
      </c>
      <c r="DK269">
        <v>0</v>
      </c>
      <c r="DL269" t="s">
        <v>523</v>
      </c>
      <c r="DM269">
        <v>4</v>
      </c>
      <c r="DN269" t="s">
        <v>509</v>
      </c>
      <c r="DO269">
        <v>1</v>
      </c>
    </row>
    <row r="270" spans="1:119" x14ac:dyDescent="0.2">
      <c r="A270">
        <f>ROW(Source!A170)</f>
        <v>170</v>
      </c>
      <c r="B270">
        <v>65170852</v>
      </c>
      <c r="C270">
        <v>65171753</v>
      </c>
      <c r="D270">
        <v>56573153</v>
      </c>
      <c r="E270">
        <v>1</v>
      </c>
      <c r="F270">
        <v>1</v>
      </c>
      <c r="G270">
        <v>1</v>
      </c>
      <c r="H270">
        <v>2</v>
      </c>
      <c r="I270" t="s">
        <v>655</v>
      </c>
      <c r="J270" t="s">
        <v>656</v>
      </c>
      <c r="K270" t="s">
        <v>657</v>
      </c>
      <c r="L270">
        <v>1368</v>
      </c>
      <c r="N270">
        <v>1011</v>
      </c>
      <c r="O270" t="s">
        <v>515</v>
      </c>
      <c r="P270" t="s">
        <v>515</v>
      </c>
      <c r="Q270">
        <v>1</v>
      </c>
      <c r="W270">
        <v>0</v>
      </c>
      <c r="X270">
        <v>1280601743</v>
      </c>
      <c r="Y270">
        <f t="shared" si="96"/>
        <v>1.51</v>
      </c>
      <c r="AA270">
        <v>0</v>
      </c>
      <c r="AB270">
        <v>26.32</v>
      </c>
      <c r="AC270">
        <v>0</v>
      </c>
      <c r="AD270">
        <v>0</v>
      </c>
      <c r="AE270">
        <v>0</v>
      </c>
      <c r="AF270">
        <v>26.32</v>
      </c>
      <c r="AG270">
        <v>0</v>
      </c>
      <c r="AH270">
        <v>0</v>
      </c>
      <c r="AI270">
        <v>1</v>
      </c>
      <c r="AJ270">
        <v>1</v>
      </c>
      <c r="AK270">
        <v>1</v>
      </c>
      <c r="AL270">
        <v>1</v>
      </c>
      <c r="AM270">
        <v>-2</v>
      </c>
      <c r="AN270">
        <v>0</v>
      </c>
      <c r="AO270">
        <v>0</v>
      </c>
      <c r="AP270">
        <v>1</v>
      </c>
      <c r="AQ270">
        <v>1</v>
      </c>
      <c r="AR270">
        <v>0</v>
      </c>
      <c r="AS270" t="s">
        <v>3</v>
      </c>
      <c r="AT270">
        <v>1.51</v>
      </c>
      <c r="AU270" t="s">
        <v>3</v>
      </c>
      <c r="AV270">
        <v>1</v>
      </c>
      <c r="AW270">
        <v>2</v>
      </c>
      <c r="AX270">
        <v>65171765</v>
      </c>
      <c r="AY270">
        <v>1</v>
      </c>
      <c r="AZ270">
        <v>0</v>
      </c>
      <c r="BA270">
        <v>277</v>
      </c>
      <c r="BB270">
        <v>1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39.743200000000002</v>
      </c>
      <c r="BL270">
        <v>0</v>
      </c>
      <c r="BM270">
        <v>0</v>
      </c>
      <c r="BN270">
        <v>0</v>
      </c>
      <c r="BO270">
        <v>0</v>
      </c>
      <c r="BP270">
        <v>1</v>
      </c>
      <c r="BQ270">
        <v>0</v>
      </c>
      <c r="BR270">
        <v>39.743200000000002</v>
      </c>
      <c r="BS270">
        <v>0</v>
      </c>
      <c r="BT270">
        <v>0</v>
      </c>
      <c r="BU270">
        <v>0</v>
      </c>
      <c r="BV270">
        <v>0</v>
      </c>
      <c r="BW270">
        <v>1</v>
      </c>
      <c r="CV270">
        <v>0</v>
      </c>
      <c r="CW270">
        <f>ROUND(Y270*Source!I170*DO270,7)</f>
        <v>0</v>
      </c>
      <c r="CX270">
        <f>ROUND(Y270*Source!I170,7)</f>
        <v>1.208</v>
      </c>
      <c r="CY270">
        <f>AB270</f>
        <v>26.32</v>
      </c>
      <c r="CZ270">
        <f>AF270</f>
        <v>26.32</v>
      </c>
      <c r="DA270">
        <f>AJ270</f>
        <v>1</v>
      </c>
      <c r="DB270">
        <f t="shared" si="97"/>
        <v>39.74</v>
      </c>
      <c r="DC270">
        <f t="shared" si="98"/>
        <v>0</v>
      </c>
      <c r="DD270" t="s">
        <v>3</v>
      </c>
      <c r="DE270" t="s">
        <v>3</v>
      </c>
      <c r="DF270">
        <f>ROUND(ROUND(AE270,2)*CX270,2)</f>
        <v>0</v>
      </c>
      <c r="DG270">
        <f t="shared" ref="DG270:DG275" si="99">ROUND(ROUND(AF270,2)*CX270,2)</f>
        <v>31.79</v>
      </c>
      <c r="DH270">
        <f t="shared" si="90"/>
        <v>0</v>
      </c>
      <c r="DI270">
        <f t="shared" si="77"/>
        <v>0</v>
      </c>
      <c r="DJ270">
        <f>DG270+DH270</f>
        <v>31.79</v>
      </c>
      <c r="DK270">
        <v>1</v>
      </c>
      <c r="DL270" t="s">
        <v>3</v>
      </c>
      <c r="DM270">
        <v>0</v>
      </c>
      <c r="DN270" t="s">
        <v>3</v>
      </c>
      <c r="DO270">
        <v>0</v>
      </c>
    </row>
    <row r="271" spans="1:119" x14ac:dyDescent="0.2">
      <c r="A271">
        <f>ROW(Source!A170)</f>
        <v>170</v>
      </c>
      <c r="B271">
        <v>65170852</v>
      </c>
      <c r="C271">
        <v>65171753</v>
      </c>
      <c r="D271">
        <v>56579266</v>
      </c>
      <c r="E271">
        <v>1</v>
      </c>
      <c r="F271">
        <v>1</v>
      </c>
      <c r="G271">
        <v>1</v>
      </c>
      <c r="H271">
        <v>3</v>
      </c>
      <c r="I271" t="s">
        <v>550</v>
      </c>
      <c r="J271" t="s">
        <v>551</v>
      </c>
      <c r="K271" t="s">
        <v>552</v>
      </c>
      <c r="L271">
        <v>1346</v>
      </c>
      <c r="N271">
        <v>1009</v>
      </c>
      <c r="O271" t="s">
        <v>549</v>
      </c>
      <c r="P271" t="s">
        <v>549</v>
      </c>
      <c r="Q271">
        <v>1</v>
      </c>
      <c r="W271">
        <v>0</v>
      </c>
      <c r="X271">
        <v>-1545686836</v>
      </c>
      <c r="Y271">
        <f t="shared" si="96"/>
        <v>0.72</v>
      </c>
      <c r="AA271">
        <v>147.85</v>
      </c>
      <c r="AB271">
        <v>0</v>
      </c>
      <c r="AC271">
        <v>0</v>
      </c>
      <c r="AD271">
        <v>0</v>
      </c>
      <c r="AE271">
        <v>155.63</v>
      </c>
      <c r="AF271">
        <v>0</v>
      </c>
      <c r="AG271">
        <v>0</v>
      </c>
      <c r="AH271">
        <v>0</v>
      </c>
      <c r="AI271">
        <v>0.95</v>
      </c>
      <c r="AJ271">
        <v>1</v>
      </c>
      <c r="AK271">
        <v>1</v>
      </c>
      <c r="AL271">
        <v>1</v>
      </c>
      <c r="AM271">
        <v>2</v>
      </c>
      <c r="AN271">
        <v>0</v>
      </c>
      <c r="AO271">
        <v>0</v>
      </c>
      <c r="AP271">
        <v>1</v>
      </c>
      <c r="AQ271">
        <v>1</v>
      </c>
      <c r="AR271">
        <v>0</v>
      </c>
      <c r="AS271" t="s">
        <v>3</v>
      </c>
      <c r="AT271">
        <v>0.72</v>
      </c>
      <c r="AU271" t="s">
        <v>3</v>
      </c>
      <c r="AV271">
        <v>0</v>
      </c>
      <c r="AW271">
        <v>2</v>
      </c>
      <c r="AX271">
        <v>65171766</v>
      </c>
      <c r="AY271">
        <v>1</v>
      </c>
      <c r="AZ271">
        <v>0</v>
      </c>
      <c r="BA271">
        <v>278</v>
      </c>
      <c r="BB271">
        <v>1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112.05359999999999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1</v>
      </c>
      <c r="BQ271">
        <v>112.05359999999999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1</v>
      </c>
      <c r="CV271">
        <v>0</v>
      </c>
      <c r="CW271">
        <v>0</v>
      </c>
      <c r="CX271">
        <f>ROUND(Y271*Source!I170,7)</f>
        <v>0.57599999999999996</v>
      </c>
      <c r="CY271">
        <f>AA271</f>
        <v>147.85</v>
      </c>
      <c r="CZ271">
        <f>AE271</f>
        <v>155.63</v>
      </c>
      <c r="DA271">
        <f>AI271</f>
        <v>0.95</v>
      </c>
      <c r="DB271">
        <f t="shared" si="97"/>
        <v>112.05</v>
      </c>
      <c r="DC271">
        <f t="shared" si="98"/>
        <v>0</v>
      </c>
      <c r="DD271" t="s">
        <v>3</v>
      </c>
      <c r="DE271" t="s">
        <v>3</v>
      </c>
      <c r="DF271">
        <f>ROUND(ROUND(AE271*AI271,2)*CX271,2)</f>
        <v>85.16</v>
      </c>
      <c r="DG271">
        <f t="shared" si="99"/>
        <v>0</v>
      </c>
      <c r="DH271">
        <f t="shared" si="90"/>
        <v>0</v>
      </c>
      <c r="DI271">
        <f t="shared" si="77"/>
        <v>0</v>
      </c>
      <c r="DJ271">
        <f>DF271</f>
        <v>85.16</v>
      </c>
      <c r="DK271">
        <v>0</v>
      </c>
      <c r="DL271" t="s">
        <v>3</v>
      </c>
      <c r="DM271">
        <v>0</v>
      </c>
      <c r="DN271" t="s">
        <v>3</v>
      </c>
      <c r="DO271">
        <v>0</v>
      </c>
    </row>
    <row r="272" spans="1:119" x14ac:dyDescent="0.2">
      <c r="A272">
        <f>ROW(Source!A170)</f>
        <v>170</v>
      </c>
      <c r="B272">
        <v>65170852</v>
      </c>
      <c r="C272">
        <v>65171753</v>
      </c>
      <c r="D272">
        <v>56609983</v>
      </c>
      <c r="E272">
        <v>1</v>
      </c>
      <c r="F272">
        <v>1</v>
      </c>
      <c r="G272">
        <v>1</v>
      </c>
      <c r="H272">
        <v>3</v>
      </c>
      <c r="I272" t="s">
        <v>717</v>
      </c>
      <c r="J272" t="s">
        <v>718</v>
      </c>
      <c r="K272" t="s">
        <v>719</v>
      </c>
      <c r="L272">
        <v>1346</v>
      </c>
      <c r="N272">
        <v>1009</v>
      </c>
      <c r="O272" t="s">
        <v>549</v>
      </c>
      <c r="P272" t="s">
        <v>549</v>
      </c>
      <c r="Q272">
        <v>1</v>
      </c>
      <c r="W272">
        <v>0</v>
      </c>
      <c r="X272">
        <v>4985900</v>
      </c>
      <c r="Y272">
        <f t="shared" si="96"/>
        <v>2.4</v>
      </c>
      <c r="AA272">
        <v>1121.22</v>
      </c>
      <c r="AB272">
        <v>0</v>
      </c>
      <c r="AC272">
        <v>0</v>
      </c>
      <c r="AD272">
        <v>0</v>
      </c>
      <c r="AE272">
        <v>911.56</v>
      </c>
      <c r="AF272">
        <v>0</v>
      </c>
      <c r="AG272">
        <v>0</v>
      </c>
      <c r="AH272">
        <v>0</v>
      </c>
      <c r="AI272">
        <v>1.23</v>
      </c>
      <c r="AJ272">
        <v>1</v>
      </c>
      <c r="AK272">
        <v>1</v>
      </c>
      <c r="AL272">
        <v>1</v>
      </c>
      <c r="AM272">
        <v>2</v>
      </c>
      <c r="AN272">
        <v>0</v>
      </c>
      <c r="AO272">
        <v>0</v>
      </c>
      <c r="AP272">
        <v>1</v>
      </c>
      <c r="AQ272">
        <v>1</v>
      </c>
      <c r="AR272">
        <v>0</v>
      </c>
      <c r="AS272" t="s">
        <v>3</v>
      </c>
      <c r="AT272">
        <v>2.4</v>
      </c>
      <c r="AU272" t="s">
        <v>3</v>
      </c>
      <c r="AV272">
        <v>0</v>
      </c>
      <c r="AW272">
        <v>2</v>
      </c>
      <c r="AX272">
        <v>65171767</v>
      </c>
      <c r="AY272">
        <v>1</v>
      </c>
      <c r="AZ272">
        <v>0</v>
      </c>
      <c r="BA272">
        <v>279</v>
      </c>
      <c r="BB272">
        <v>1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2187.7439999999997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1</v>
      </c>
      <c r="BQ272">
        <v>2187.7439999999997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1</v>
      </c>
      <c r="CV272">
        <v>0</v>
      </c>
      <c r="CW272">
        <v>0</v>
      </c>
      <c r="CX272">
        <f>ROUND(Y272*Source!I170,7)</f>
        <v>1.92</v>
      </c>
      <c r="CY272">
        <f>AA272</f>
        <v>1121.22</v>
      </c>
      <c r="CZ272">
        <f>AE272</f>
        <v>911.56</v>
      </c>
      <c r="DA272">
        <f>AI272</f>
        <v>1.23</v>
      </c>
      <c r="DB272">
        <f t="shared" si="97"/>
        <v>2187.7399999999998</v>
      </c>
      <c r="DC272">
        <f t="shared" si="98"/>
        <v>0</v>
      </c>
      <c r="DD272" t="s">
        <v>3</v>
      </c>
      <c r="DE272" t="s">
        <v>3</v>
      </c>
      <c r="DF272">
        <f>ROUND(ROUND(AE272*AI272,2)*CX272,2)</f>
        <v>2152.7399999999998</v>
      </c>
      <c r="DG272">
        <f t="shared" si="99"/>
        <v>0</v>
      </c>
      <c r="DH272">
        <f t="shared" si="90"/>
        <v>0</v>
      </c>
      <c r="DI272">
        <f t="shared" si="77"/>
        <v>0</v>
      </c>
      <c r="DJ272">
        <f>DF272</f>
        <v>2152.7399999999998</v>
      </c>
      <c r="DK272">
        <v>0</v>
      </c>
      <c r="DL272" t="s">
        <v>3</v>
      </c>
      <c r="DM272">
        <v>0</v>
      </c>
      <c r="DN272" t="s">
        <v>3</v>
      </c>
      <c r="DO272">
        <v>0</v>
      </c>
    </row>
    <row r="273" spans="1:119" x14ac:dyDescent="0.2">
      <c r="A273">
        <f>ROW(Source!A171)</f>
        <v>171</v>
      </c>
      <c r="B273">
        <v>65170852</v>
      </c>
      <c r="C273">
        <v>65171769</v>
      </c>
      <c r="D273">
        <v>37064878</v>
      </c>
      <c r="E273">
        <v>108</v>
      </c>
      <c r="F273">
        <v>1</v>
      </c>
      <c r="G273">
        <v>1</v>
      </c>
      <c r="H273">
        <v>1</v>
      </c>
      <c r="I273" t="s">
        <v>715</v>
      </c>
      <c r="J273" t="s">
        <v>3</v>
      </c>
      <c r="K273" t="s">
        <v>716</v>
      </c>
      <c r="L273">
        <v>1191</v>
      </c>
      <c r="N273">
        <v>1013</v>
      </c>
      <c r="O273" t="s">
        <v>509</v>
      </c>
      <c r="P273" t="s">
        <v>509</v>
      </c>
      <c r="Q273">
        <v>1</v>
      </c>
      <c r="W273">
        <v>0</v>
      </c>
      <c r="X273">
        <v>-2012709214</v>
      </c>
      <c r="Y273">
        <f t="shared" si="96"/>
        <v>18.5</v>
      </c>
      <c r="AA273">
        <v>0</v>
      </c>
      <c r="AB273">
        <v>0</v>
      </c>
      <c r="AC273">
        <v>0</v>
      </c>
      <c r="AD273">
        <v>479.56</v>
      </c>
      <c r="AE273">
        <v>0</v>
      </c>
      <c r="AF273">
        <v>0</v>
      </c>
      <c r="AG273">
        <v>0</v>
      </c>
      <c r="AH273">
        <v>479.56</v>
      </c>
      <c r="AI273">
        <v>1</v>
      </c>
      <c r="AJ273">
        <v>1</v>
      </c>
      <c r="AK273">
        <v>1</v>
      </c>
      <c r="AL273">
        <v>1</v>
      </c>
      <c r="AM273">
        <v>-2</v>
      </c>
      <c r="AN273">
        <v>0</v>
      </c>
      <c r="AO273">
        <v>0</v>
      </c>
      <c r="AP273">
        <v>1</v>
      </c>
      <c r="AQ273">
        <v>1</v>
      </c>
      <c r="AR273">
        <v>0</v>
      </c>
      <c r="AS273" t="s">
        <v>3</v>
      </c>
      <c r="AT273">
        <v>18.5</v>
      </c>
      <c r="AU273" t="s">
        <v>3</v>
      </c>
      <c r="AV273">
        <v>1</v>
      </c>
      <c r="AW273">
        <v>2</v>
      </c>
      <c r="AX273">
        <v>65171779</v>
      </c>
      <c r="AY273">
        <v>1</v>
      </c>
      <c r="AZ273">
        <v>0</v>
      </c>
      <c r="BA273">
        <v>281</v>
      </c>
      <c r="BB273">
        <v>1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8871.86</v>
      </c>
      <c r="BN273">
        <v>18.5</v>
      </c>
      <c r="BO273">
        <v>0</v>
      </c>
      <c r="BP273">
        <v>1</v>
      </c>
      <c r="BQ273">
        <v>0</v>
      </c>
      <c r="BR273">
        <v>0</v>
      </c>
      <c r="BS273">
        <v>0</v>
      </c>
      <c r="BT273">
        <v>8871.86</v>
      </c>
      <c r="BU273">
        <v>18.5</v>
      </c>
      <c r="BV273">
        <v>0</v>
      </c>
      <c r="BW273">
        <v>1</v>
      </c>
      <c r="CU273">
        <f>ROUND(AT273*Source!I171*AH273*AL273,2)</f>
        <v>3726.18</v>
      </c>
      <c r="CV273">
        <f>ROUND(Y273*Source!I171,7)</f>
        <v>7.77</v>
      </c>
      <c r="CW273">
        <v>0</v>
      </c>
      <c r="CX273">
        <f>ROUND(Y273*Source!I171,7)</f>
        <v>7.77</v>
      </c>
      <c r="CY273">
        <f>AD273</f>
        <v>479.56</v>
      </c>
      <c r="CZ273">
        <f>AH273</f>
        <v>479.56</v>
      </c>
      <c r="DA273">
        <f>AL273</f>
        <v>1</v>
      </c>
      <c r="DB273">
        <f t="shared" si="97"/>
        <v>8871.86</v>
      </c>
      <c r="DC273">
        <f t="shared" si="98"/>
        <v>0</v>
      </c>
      <c r="DD273" t="s">
        <v>3</v>
      </c>
      <c r="DE273" t="s">
        <v>3</v>
      </c>
      <c r="DF273">
        <f>ROUND(ROUND(AE273,2)*CX273,2)</f>
        <v>0</v>
      </c>
      <c r="DG273">
        <f t="shared" si="99"/>
        <v>0</v>
      </c>
      <c r="DH273">
        <f t="shared" si="90"/>
        <v>0</v>
      </c>
      <c r="DI273">
        <f t="shared" ref="DI273:DI325" si="100">ROUND(ROUND(AH273,2)*CX273,2)</f>
        <v>3726.18</v>
      </c>
      <c r="DJ273">
        <f>DI273</f>
        <v>3726.18</v>
      </c>
      <c r="DK273">
        <v>1</v>
      </c>
      <c r="DL273" t="s">
        <v>3</v>
      </c>
      <c r="DM273">
        <v>0</v>
      </c>
      <c r="DN273" t="s">
        <v>3</v>
      </c>
      <c r="DO273">
        <v>0</v>
      </c>
    </row>
    <row r="274" spans="1:119" x14ac:dyDescent="0.2">
      <c r="A274">
        <f>ROW(Source!A171)</f>
        <v>171</v>
      </c>
      <c r="B274">
        <v>65170852</v>
      </c>
      <c r="C274">
        <v>65171769</v>
      </c>
      <c r="D274">
        <v>37064876</v>
      </c>
      <c r="E274">
        <v>108</v>
      </c>
      <c r="F274">
        <v>1</v>
      </c>
      <c r="G274">
        <v>1</v>
      </c>
      <c r="H274">
        <v>1</v>
      </c>
      <c r="I274" t="s">
        <v>510</v>
      </c>
      <c r="J274" t="s">
        <v>3</v>
      </c>
      <c r="K274" t="s">
        <v>511</v>
      </c>
      <c r="L274">
        <v>1191</v>
      </c>
      <c r="N274">
        <v>1013</v>
      </c>
      <c r="O274" t="s">
        <v>509</v>
      </c>
      <c r="P274" t="s">
        <v>509</v>
      </c>
      <c r="Q274">
        <v>1</v>
      </c>
      <c r="W274">
        <v>0</v>
      </c>
      <c r="X274">
        <v>-1417349443</v>
      </c>
      <c r="Y274">
        <f t="shared" si="96"/>
        <v>0.46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1</v>
      </c>
      <c r="AJ274">
        <v>1</v>
      </c>
      <c r="AK274">
        <v>1</v>
      </c>
      <c r="AL274">
        <v>1</v>
      </c>
      <c r="AM274">
        <v>-2</v>
      </c>
      <c r="AN274">
        <v>0</v>
      </c>
      <c r="AO274">
        <v>0</v>
      </c>
      <c r="AP274">
        <v>1</v>
      </c>
      <c r="AQ274">
        <v>1</v>
      </c>
      <c r="AR274">
        <v>0</v>
      </c>
      <c r="AS274" t="s">
        <v>3</v>
      </c>
      <c r="AT274">
        <v>0.46</v>
      </c>
      <c r="AU274" t="s">
        <v>3</v>
      </c>
      <c r="AV274">
        <v>2</v>
      </c>
      <c r="AW274">
        <v>2</v>
      </c>
      <c r="AX274">
        <v>65171780</v>
      </c>
      <c r="AY274">
        <v>1</v>
      </c>
      <c r="AZ274">
        <v>0</v>
      </c>
      <c r="BA274">
        <v>282</v>
      </c>
      <c r="BB274">
        <v>1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CV274">
        <v>0</v>
      </c>
      <c r="CW274">
        <v>0</v>
      </c>
      <c r="CX274">
        <f>ROUND(Y274*Source!I171,7)</f>
        <v>0.19320000000000001</v>
      </c>
      <c r="CY274">
        <f>AD274</f>
        <v>0</v>
      </c>
      <c r="CZ274">
        <f>AH274</f>
        <v>0</v>
      </c>
      <c r="DA274">
        <f>AL274</f>
        <v>1</v>
      </c>
      <c r="DB274">
        <f t="shared" si="97"/>
        <v>0</v>
      </c>
      <c r="DC274">
        <f t="shared" si="98"/>
        <v>0</v>
      </c>
      <c r="DD274" t="s">
        <v>3</v>
      </c>
      <c r="DE274" t="s">
        <v>3</v>
      </c>
      <c r="DF274">
        <f>ROUND(ROUND(AE274,2)*CX274,2)</f>
        <v>0</v>
      </c>
      <c r="DG274">
        <f t="shared" si="99"/>
        <v>0</v>
      </c>
      <c r="DH274">
        <f t="shared" si="90"/>
        <v>0</v>
      </c>
      <c r="DI274">
        <f t="shared" si="100"/>
        <v>0</v>
      </c>
      <c r="DJ274">
        <f>DI274</f>
        <v>0</v>
      </c>
      <c r="DK274">
        <v>0</v>
      </c>
      <c r="DL274" t="s">
        <v>3</v>
      </c>
      <c r="DM274">
        <v>0</v>
      </c>
      <c r="DN274" t="s">
        <v>3</v>
      </c>
      <c r="DO274">
        <v>0</v>
      </c>
    </row>
    <row r="275" spans="1:119" x14ac:dyDescent="0.2">
      <c r="A275">
        <f>ROW(Source!A171)</f>
        <v>171</v>
      </c>
      <c r="B275">
        <v>65170852</v>
      </c>
      <c r="C275">
        <v>65171769</v>
      </c>
      <c r="D275">
        <v>56571417</v>
      </c>
      <c r="E275">
        <v>1</v>
      </c>
      <c r="F275">
        <v>1</v>
      </c>
      <c r="G275">
        <v>1</v>
      </c>
      <c r="H275">
        <v>2</v>
      </c>
      <c r="I275" t="s">
        <v>512</v>
      </c>
      <c r="J275" t="s">
        <v>513</v>
      </c>
      <c r="K275" t="s">
        <v>514</v>
      </c>
      <c r="L275">
        <v>1368</v>
      </c>
      <c r="N275">
        <v>1011</v>
      </c>
      <c r="O275" t="s">
        <v>515</v>
      </c>
      <c r="P275" t="s">
        <v>515</v>
      </c>
      <c r="Q275">
        <v>1</v>
      </c>
      <c r="W275">
        <v>0</v>
      </c>
      <c r="X275">
        <v>-848025172</v>
      </c>
      <c r="Y275">
        <f t="shared" si="96"/>
        <v>0.23</v>
      </c>
      <c r="AA275">
        <v>0</v>
      </c>
      <c r="AB275">
        <v>1551.19</v>
      </c>
      <c r="AC275">
        <v>658.94</v>
      </c>
      <c r="AD275">
        <v>0</v>
      </c>
      <c r="AE275">
        <v>0</v>
      </c>
      <c r="AF275">
        <v>1551.19</v>
      </c>
      <c r="AG275">
        <v>658.94</v>
      </c>
      <c r="AH275">
        <v>0</v>
      </c>
      <c r="AI275">
        <v>1</v>
      </c>
      <c r="AJ275">
        <v>1</v>
      </c>
      <c r="AK275">
        <v>1</v>
      </c>
      <c r="AL275">
        <v>1</v>
      </c>
      <c r="AM275">
        <v>-2</v>
      </c>
      <c r="AN275">
        <v>0</v>
      </c>
      <c r="AO275">
        <v>0</v>
      </c>
      <c r="AP275">
        <v>1</v>
      </c>
      <c r="AQ275">
        <v>1</v>
      </c>
      <c r="AR275">
        <v>0</v>
      </c>
      <c r="AS275" t="s">
        <v>3</v>
      </c>
      <c r="AT275">
        <v>0.23</v>
      </c>
      <c r="AU275" t="s">
        <v>3</v>
      </c>
      <c r="AV275">
        <v>1</v>
      </c>
      <c r="AW275">
        <v>2</v>
      </c>
      <c r="AX275">
        <v>65171781</v>
      </c>
      <c r="AY275">
        <v>1</v>
      </c>
      <c r="AZ275">
        <v>0</v>
      </c>
      <c r="BA275">
        <v>283</v>
      </c>
      <c r="BB275">
        <v>1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356.77370000000002</v>
      </c>
      <c r="BL275">
        <v>151.55620000000002</v>
      </c>
      <c r="BM275">
        <v>0</v>
      </c>
      <c r="BN275">
        <v>0</v>
      </c>
      <c r="BO275">
        <v>0.23</v>
      </c>
      <c r="BP275">
        <v>1</v>
      </c>
      <c r="BQ275">
        <v>0</v>
      </c>
      <c r="BR275">
        <v>356.77370000000002</v>
      </c>
      <c r="BS275">
        <v>151.55620000000002</v>
      </c>
      <c r="BT275">
        <v>0</v>
      </c>
      <c r="BU275">
        <v>0</v>
      </c>
      <c r="BV275">
        <v>0.23</v>
      </c>
      <c r="BW275">
        <v>1</v>
      </c>
      <c r="CV275">
        <v>0</v>
      </c>
      <c r="CW275">
        <f>ROUND(Y275*Source!I171*DO275,7)</f>
        <v>9.6600000000000005E-2</v>
      </c>
      <c r="CX275">
        <f>ROUND(Y275*Source!I171,7)</f>
        <v>9.6600000000000005E-2</v>
      </c>
      <c r="CY275">
        <f>AB275</f>
        <v>1551.19</v>
      </c>
      <c r="CZ275">
        <f>AF275</f>
        <v>1551.19</v>
      </c>
      <c r="DA275">
        <f>AJ275</f>
        <v>1</v>
      </c>
      <c r="DB275">
        <f t="shared" si="97"/>
        <v>356.77</v>
      </c>
      <c r="DC275">
        <f t="shared" si="98"/>
        <v>151.56</v>
      </c>
      <c r="DD275" t="s">
        <v>3</v>
      </c>
      <c r="DE275" t="s">
        <v>3</v>
      </c>
      <c r="DF275">
        <f>ROUND(ROUND(AE275,2)*CX275,2)</f>
        <v>0</v>
      </c>
      <c r="DG275">
        <f t="shared" si="99"/>
        <v>149.84</v>
      </c>
      <c r="DH275">
        <f t="shared" si="90"/>
        <v>63.65</v>
      </c>
      <c r="DI275">
        <f t="shared" si="100"/>
        <v>0</v>
      </c>
      <c r="DJ275">
        <f>DG275+DH275</f>
        <v>213.49</v>
      </c>
      <c r="DK275">
        <v>1</v>
      </c>
      <c r="DL275" t="s">
        <v>516</v>
      </c>
      <c r="DM275">
        <v>6</v>
      </c>
      <c r="DN275" t="s">
        <v>509</v>
      </c>
      <c r="DO275">
        <v>1</v>
      </c>
    </row>
    <row r="276" spans="1:119" x14ac:dyDescent="0.2">
      <c r="A276">
        <f>ROW(Source!A171)</f>
        <v>171</v>
      </c>
      <c r="B276">
        <v>65170852</v>
      </c>
      <c r="C276">
        <v>65171769</v>
      </c>
      <c r="D276">
        <v>56572833</v>
      </c>
      <c r="E276">
        <v>1</v>
      </c>
      <c r="F276">
        <v>1</v>
      </c>
      <c r="G276">
        <v>1</v>
      </c>
      <c r="H276">
        <v>2</v>
      </c>
      <c r="I276" t="s">
        <v>520</v>
      </c>
      <c r="J276" t="s">
        <v>521</v>
      </c>
      <c r="K276" t="s">
        <v>522</v>
      </c>
      <c r="L276">
        <v>1368</v>
      </c>
      <c r="N276">
        <v>1011</v>
      </c>
      <c r="O276" t="s">
        <v>515</v>
      </c>
      <c r="P276" t="s">
        <v>515</v>
      </c>
      <c r="Q276">
        <v>1</v>
      </c>
      <c r="W276">
        <v>0</v>
      </c>
      <c r="X276">
        <v>1230426758</v>
      </c>
      <c r="Y276">
        <f t="shared" si="96"/>
        <v>0.23</v>
      </c>
      <c r="AA276">
        <v>0</v>
      </c>
      <c r="AB276">
        <v>578.28</v>
      </c>
      <c r="AC276">
        <v>490.55</v>
      </c>
      <c r="AD276">
        <v>0</v>
      </c>
      <c r="AE276">
        <v>0</v>
      </c>
      <c r="AF276">
        <v>477.92</v>
      </c>
      <c r="AG276">
        <v>490.55</v>
      </c>
      <c r="AH276">
        <v>0</v>
      </c>
      <c r="AI276">
        <v>1</v>
      </c>
      <c r="AJ276">
        <v>1.21</v>
      </c>
      <c r="AK276">
        <v>1</v>
      </c>
      <c r="AL276">
        <v>1</v>
      </c>
      <c r="AM276">
        <v>2</v>
      </c>
      <c r="AN276">
        <v>0</v>
      </c>
      <c r="AO276">
        <v>0</v>
      </c>
      <c r="AP276">
        <v>1</v>
      </c>
      <c r="AQ276">
        <v>1</v>
      </c>
      <c r="AR276">
        <v>0</v>
      </c>
      <c r="AS276" t="s">
        <v>3</v>
      </c>
      <c r="AT276">
        <v>0.23</v>
      </c>
      <c r="AU276" t="s">
        <v>3</v>
      </c>
      <c r="AV276">
        <v>1</v>
      </c>
      <c r="AW276">
        <v>2</v>
      </c>
      <c r="AX276">
        <v>65171782</v>
      </c>
      <c r="AY276">
        <v>1</v>
      </c>
      <c r="AZ276">
        <v>0</v>
      </c>
      <c r="BA276">
        <v>284</v>
      </c>
      <c r="BB276">
        <v>1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109.92160000000001</v>
      </c>
      <c r="BL276">
        <v>112.82650000000001</v>
      </c>
      <c r="BM276">
        <v>0</v>
      </c>
      <c r="BN276">
        <v>0</v>
      </c>
      <c r="BO276">
        <v>0.23</v>
      </c>
      <c r="BP276">
        <v>1</v>
      </c>
      <c r="BQ276">
        <v>0</v>
      </c>
      <c r="BR276">
        <v>109.92160000000001</v>
      </c>
      <c r="BS276">
        <v>112.82650000000001</v>
      </c>
      <c r="BT276">
        <v>0</v>
      </c>
      <c r="BU276">
        <v>0</v>
      </c>
      <c r="BV276">
        <v>0.23</v>
      </c>
      <c r="BW276">
        <v>1</v>
      </c>
      <c r="CV276">
        <v>0</v>
      </c>
      <c r="CW276">
        <f>ROUND(Y276*Source!I171*DO276,7)</f>
        <v>9.6600000000000005E-2</v>
      </c>
      <c r="CX276">
        <f>ROUND(Y276*Source!I171,7)</f>
        <v>9.6600000000000005E-2</v>
      </c>
      <c r="CY276">
        <f>AB276</f>
        <v>578.28</v>
      </c>
      <c r="CZ276">
        <f>AF276</f>
        <v>477.92</v>
      </c>
      <c r="DA276">
        <f>AJ276</f>
        <v>1.21</v>
      </c>
      <c r="DB276">
        <f t="shared" si="97"/>
        <v>109.92</v>
      </c>
      <c r="DC276">
        <f t="shared" si="98"/>
        <v>112.83</v>
      </c>
      <c r="DD276" t="s">
        <v>3</v>
      </c>
      <c r="DE276" t="s">
        <v>3</v>
      </c>
      <c r="DF276">
        <f>ROUND(ROUND(AE276,2)*CX276,2)</f>
        <v>0</v>
      </c>
      <c r="DG276">
        <f>ROUND(ROUND(AF276*AJ276,2)*CX276,2)</f>
        <v>55.86</v>
      </c>
      <c r="DH276">
        <f t="shared" si="90"/>
        <v>47.39</v>
      </c>
      <c r="DI276">
        <f t="shared" si="100"/>
        <v>0</v>
      </c>
      <c r="DJ276">
        <f>DG276+DH276</f>
        <v>103.25</v>
      </c>
      <c r="DK276">
        <v>0</v>
      </c>
      <c r="DL276" t="s">
        <v>523</v>
      </c>
      <c r="DM276">
        <v>4</v>
      </c>
      <c r="DN276" t="s">
        <v>509</v>
      </c>
      <c r="DO276">
        <v>1</v>
      </c>
    </row>
    <row r="277" spans="1:119" x14ac:dyDescent="0.2">
      <c r="A277">
        <f>ROW(Source!A171)</f>
        <v>171</v>
      </c>
      <c r="B277">
        <v>65170852</v>
      </c>
      <c r="C277">
        <v>65171769</v>
      </c>
      <c r="D277">
        <v>56573153</v>
      </c>
      <c r="E277">
        <v>1</v>
      </c>
      <c r="F277">
        <v>1</v>
      </c>
      <c r="G277">
        <v>1</v>
      </c>
      <c r="H277">
        <v>2</v>
      </c>
      <c r="I277" t="s">
        <v>655</v>
      </c>
      <c r="J277" t="s">
        <v>656</v>
      </c>
      <c r="K277" t="s">
        <v>657</v>
      </c>
      <c r="L277">
        <v>1368</v>
      </c>
      <c r="N277">
        <v>1011</v>
      </c>
      <c r="O277" t="s">
        <v>515</v>
      </c>
      <c r="P277" t="s">
        <v>515</v>
      </c>
      <c r="Q277">
        <v>1</v>
      </c>
      <c r="W277">
        <v>0</v>
      </c>
      <c r="X277">
        <v>1280601743</v>
      </c>
      <c r="Y277">
        <f t="shared" si="96"/>
        <v>2.9</v>
      </c>
      <c r="AA277">
        <v>0</v>
      </c>
      <c r="AB277">
        <v>26.32</v>
      </c>
      <c r="AC277">
        <v>0</v>
      </c>
      <c r="AD277">
        <v>0</v>
      </c>
      <c r="AE277">
        <v>0</v>
      </c>
      <c r="AF277">
        <v>26.32</v>
      </c>
      <c r="AG277">
        <v>0</v>
      </c>
      <c r="AH277">
        <v>0</v>
      </c>
      <c r="AI277">
        <v>1</v>
      </c>
      <c r="AJ277">
        <v>1</v>
      </c>
      <c r="AK277">
        <v>1</v>
      </c>
      <c r="AL277">
        <v>1</v>
      </c>
      <c r="AM277">
        <v>-2</v>
      </c>
      <c r="AN277">
        <v>0</v>
      </c>
      <c r="AO277">
        <v>0</v>
      </c>
      <c r="AP277">
        <v>1</v>
      </c>
      <c r="AQ277">
        <v>1</v>
      </c>
      <c r="AR277">
        <v>0</v>
      </c>
      <c r="AS277" t="s">
        <v>3</v>
      </c>
      <c r="AT277">
        <v>2.9</v>
      </c>
      <c r="AU277" t="s">
        <v>3</v>
      </c>
      <c r="AV277">
        <v>1</v>
      </c>
      <c r="AW277">
        <v>2</v>
      </c>
      <c r="AX277">
        <v>65171783</v>
      </c>
      <c r="AY277">
        <v>1</v>
      </c>
      <c r="AZ277">
        <v>0</v>
      </c>
      <c r="BA277">
        <v>285</v>
      </c>
      <c r="BB277">
        <v>1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76.328000000000003</v>
      </c>
      <c r="BL277">
        <v>0</v>
      </c>
      <c r="BM277">
        <v>0</v>
      </c>
      <c r="BN277">
        <v>0</v>
      </c>
      <c r="BO277">
        <v>0</v>
      </c>
      <c r="BP277">
        <v>1</v>
      </c>
      <c r="BQ277">
        <v>0</v>
      </c>
      <c r="BR277">
        <v>76.328000000000003</v>
      </c>
      <c r="BS277">
        <v>0</v>
      </c>
      <c r="BT277">
        <v>0</v>
      </c>
      <c r="BU277">
        <v>0</v>
      </c>
      <c r="BV277">
        <v>0</v>
      </c>
      <c r="BW277">
        <v>1</v>
      </c>
      <c r="CV277">
        <v>0</v>
      </c>
      <c r="CW277">
        <f>ROUND(Y277*Source!I171*DO277,7)</f>
        <v>0</v>
      </c>
      <c r="CX277">
        <f>ROUND(Y277*Source!I171,7)</f>
        <v>1.218</v>
      </c>
      <c r="CY277">
        <f>AB277</f>
        <v>26.32</v>
      </c>
      <c r="CZ277">
        <f>AF277</f>
        <v>26.32</v>
      </c>
      <c r="DA277">
        <f>AJ277</f>
        <v>1</v>
      </c>
      <c r="DB277">
        <f t="shared" si="97"/>
        <v>76.33</v>
      </c>
      <c r="DC277">
        <f t="shared" si="98"/>
        <v>0</v>
      </c>
      <c r="DD277" t="s">
        <v>3</v>
      </c>
      <c r="DE277" t="s">
        <v>3</v>
      </c>
      <c r="DF277">
        <f>ROUND(ROUND(AE277,2)*CX277,2)</f>
        <v>0</v>
      </c>
      <c r="DG277">
        <f t="shared" ref="DG277:DG284" si="101">ROUND(ROUND(AF277,2)*CX277,2)</f>
        <v>32.06</v>
      </c>
      <c r="DH277">
        <f t="shared" si="90"/>
        <v>0</v>
      </c>
      <c r="DI277">
        <f t="shared" si="100"/>
        <v>0</v>
      </c>
      <c r="DJ277">
        <f>DG277+DH277</f>
        <v>32.06</v>
      </c>
      <c r="DK277">
        <v>1</v>
      </c>
      <c r="DL277" t="s">
        <v>3</v>
      </c>
      <c r="DM277">
        <v>0</v>
      </c>
      <c r="DN277" t="s">
        <v>3</v>
      </c>
      <c r="DO277">
        <v>0</v>
      </c>
    </row>
    <row r="278" spans="1:119" x14ac:dyDescent="0.2">
      <c r="A278">
        <f>ROW(Source!A171)</f>
        <v>171</v>
      </c>
      <c r="B278">
        <v>65170852</v>
      </c>
      <c r="C278">
        <v>65171769</v>
      </c>
      <c r="D278">
        <v>56579266</v>
      </c>
      <c r="E278">
        <v>1</v>
      </c>
      <c r="F278">
        <v>1</v>
      </c>
      <c r="G278">
        <v>1</v>
      </c>
      <c r="H278">
        <v>3</v>
      </c>
      <c r="I278" t="s">
        <v>550</v>
      </c>
      <c r="J278" t="s">
        <v>551</v>
      </c>
      <c r="K278" t="s">
        <v>552</v>
      </c>
      <c r="L278">
        <v>1346</v>
      </c>
      <c r="N278">
        <v>1009</v>
      </c>
      <c r="O278" t="s">
        <v>549</v>
      </c>
      <c r="P278" t="s">
        <v>549</v>
      </c>
      <c r="Q278">
        <v>1</v>
      </c>
      <c r="W278">
        <v>0</v>
      </c>
      <c r="X278">
        <v>-1545686836</v>
      </c>
      <c r="Y278">
        <f t="shared" si="96"/>
        <v>1.3</v>
      </c>
      <c r="AA278">
        <v>147.85</v>
      </c>
      <c r="AB278">
        <v>0</v>
      </c>
      <c r="AC278">
        <v>0</v>
      </c>
      <c r="AD278">
        <v>0</v>
      </c>
      <c r="AE278">
        <v>155.63</v>
      </c>
      <c r="AF278">
        <v>0</v>
      </c>
      <c r="AG278">
        <v>0</v>
      </c>
      <c r="AH278">
        <v>0</v>
      </c>
      <c r="AI278">
        <v>0.95</v>
      </c>
      <c r="AJ278">
        <v>1</v>
      </c>
      <c r="AK278">
        <v>1</v>
      </c>
      <c r="AL278">
        <v>1</v>
      </c>
      <c r="AM278">
        <v>2</v>
      </c>
      <c r="AN278">
        <v>0</v>
      </c>
      <c r="AO278">
        <v>0</v>
      </c>
      <c r="AP278">
        <v>1</v>
      </c>
      <c r="AQ278">
        <v>1</v>
      </c>
      <c r="AR278">
        <v>0</v>
      </c>
      <c r="AS278" t="s">
        <v>3</v>
      </c>
      <c r="AT278">
        <v>1.3</v>
      </c>
      <c r="AU278" t="s">
        <v>3</v>
      </c>
      <c r="AV278">
        <v>0</v>
      </c>
      <c r="AW278">
        <v>2</v>
      </c>
      <c r="AX278">
        <v>65171784</v>
      </c>
      <c r="AY278">
        <v>1</v>
      </c>
      <c r="AZ278">
        <v>0</v>
      </c>
      <c r="BA278">
        <v>286</v>
      </c>
      <c r="BB278">
        <v>1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202.31899999999999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1</v>
      </c>
      <c r="BQ278">
        <v>202.31899999999999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1</v>
      </c>
      <c r="CV278">
        <v>0</v>
      </c>
      <c r="CW278">
        <v>0</v>
      </c>
      <c r="CX278">
        <f>ROUND(Y278*Source!I171,7)</f>
        <v>0.54600000000000004</v>
      </c>
      <c r="CY278">
        <f>AA278</f>
        <v>147.85</v>
      </c>
      <c r="CZ278">
        <f>AE278</f>
        <v>155.63</v>
      </c>
      <c r="DA278">
        <f>AI278</f>
        <v>0.95</v>
      </c>
      <c r="DB278">
        <f t="shared" si="97"/>
        <v>202.32</v>
      </c>
      <c r="DC278">
        <f t="shared" si="98"/>
        <v>0</v>
      </c>
      <c r="DD278" t="s">
        <v>3</v>
      </c>
      <c r="DE278" t="s">
        <v>3</v>
      </c>
      <c r="DF278">
        <f>ROUND(ROUND(AE278*AI278,2)*CX278,2)</f>
        <v>80.73</v>
      </c>
      <c r="DG278">
        <f t="shared" si="101"/>
        <v>0</v>
      </c>
      <c r="DH278">
        <f t="shared" si="90"/>
        <v>0</v>
      </c>
      <c r="DI278">
        <f t="shared" si="100"/>
        <v>0</v>
      </c>
      <c r="DJ278">
        <f>DF278</f>
        <v>80.73</v>
      </c>
      <c r="DK278">
        <v>0</v>
      </c>
      <c r="DL278" t="s">
        <v>3</v>
      </c>
      <c r="DM278">
        <v>0</v>
      </c>
      <c r="DN278" t="s">
        <v>3</v>
      </c>
      <c r="DO278">
        <v>0</v>
      </c>
    </row>
    <row r="279" spans="1:119" x14ac:dyDescent="0.2">
      <c r="A279">
        <f>ROW(Source!A171)</f>
        <v>171</v>
      </c>
      <c r="B279">
        <v>65170852</v>
      </c>
      <c r="C279">
        <v>65171769</v>
      </c>
      <c r="D279">
        <v>56592692</v>
      </c>
      <c r="E279">
        <v>1</v>
      </c>
      <c r="F279">
        <v>1</v>
      </c>
      <c r="G279">
        <v>1</v>
      </c>
      <c r="H279">
        <v>3</v>
      </c>
      <c r="I279" t="s">
        <v>720</v>
      </c>
      <c r="J279" t="s">
        <v>721</v>
      </c>
      <c r="K279" t="s">
        <v>722</v>
      </c>
      <c r="L279">
        <v>1348</v>
      </c>
      <c r="N279">
        <v>1009</v>
      </c>
      <c r="O279" t="s">
        <v>94</v>
      </c>
      <c r="P279" t="s">
        <v>94</v>
      </c>
      <c r="Q279">
        <v>1000</v>
      </c>
      <c r="W279">
        <v>0</v>
      </c>
      <c r="X279">
        <v>-994423950</v>
      </c>
      <c r="Y279">
        <f t="shared" si="96"/>
        <v>4.0000000000000001E-3</v>
      </c>
      <c r="AA279">
        <v>61173.09</v>
      </c>
      <c r="AB279">
        <v>0</v>
      </c>
      <c r="AC279">
        <v>0</v>
      </c>
      <c r="AD279">
        <v>0</v>
      </c>
      <c r="AE279">
        <v>71131.5</v>
      </c>
      <c r="AF279">
        <v>0</v>
      </c>
      <c r="AG279">
        <v>0</v>
      </c>
      <c r="AH279">
        <v>0</v>
      </c>
      <c r="AI279">
        <v>0.86</v>
      </c>
      <c r="AJ279">
        <v>1</v>
      </c>
      <c r="AK279">
        <v>1</v>
      </c>
      <c r="AL279">
        <v>1</v>
      </c>
      <c r="AM279">
        <v>2</v>
      </c>
      <c r="AN279">
        <v>0</v>
      </c>
      <c r="AO279">
        <v>0</v>
      </c>
      <c r="AP279">
        <v>1</v>
      </c>
      <c r="AQ279">
        <v>1</v>
      </c>
      <c r="AR279">
        <v>0</v>
      </c>
      <c r="AS279" t="s">
        <v>3</v>
      </c>
      <c r="AT279">
        <v>4.0000000000000001E-3</v>
      </c>
      <c r="AU279" t="s">
        <v>3</v>
      </c>
      <c r="AV279">
        <v>0</v>
      </c>
      <c r="AW279">
        <v>2</v>
      </c>
      <c r="AX279">
        <v>65171785</v>
      </c>
      <c r="AY279">
        <v>1</v>
      </c>
      <c r="AZ279">
        <v>0</v>
      </c>
      <c r="BA279">
        <v>287</v>
      </c>
      <c r="BB279">
        <v>1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284.52600000000001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1</v>
      </c>
      <c r="BQ279">
        <v>284.52600000000001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1</v>
      </c>
      <c r="CV279">
        <v>0</v>
      </c>
      <c r="CW279">
        <v>0</v>
      </c>
      <c r="CX279">
        <f>ROUND(Y279*Source!I171,7)</f>
        <v>1.6800000000000001E-3</v>
      </c>
      <c r="CY279">
        <f>AA279</f>
        <v>61173.09</v>
      </c>
      <c r="CZ279">
        <f>AE279</f>
        <v>71131.5</v>
      </c>
      <c r="DA279">
        <f>AI279</f>
        <v>0.86</v>
      </c>
      <c r="DB279">
        <f t="shared" si="97"/>
        <v>284.52999999999997</v>
      </c>
      <c r="DC279">
        <f t="shared" si="98"/>
        <v>0</v>
      </c>
      <c r="DD279" t="s">
        <v>3</v>
      </c>
      <c r="DE279" t="s">
        <v>3</v>
      </c>
      <c r="DF279">
        <f>ROUND(ROUND(AE279*AI279,2)*CX279,2)</f>
        <v>102.77</v>
      </c>
      <c r="DG279">
        <f t="shared" si="101"/>
        <v>0</v>
      </c>
      <c r="DH279">
        <f t="shared" si="90"/>
        <v>0</v>
      </c>
      <c r="DI279">
        <f t="shared" si="100"/>
        <v>0</v>
      </c>
      <c r="DJ279">
        <f>DF279</f>
        <v>102.77</v>
      </c>
      <c r="DK279">
        <v>0</v>
      </c>
      <c r="DL279" t="s">
        <v>3</v>
      </c>
      <c r="DM279">
        <v>0</v>
      </c>
      <c r="DN279" t="s">
        <v>3</v>
      </c>
      <c r="DO279">
        <v>0</v>
      </c>
    </row>
    <row r="280" spans="1:119" x14ac:dyDescent="0.2">
      <c r="A280">
        <f>ROW(Source!A171)</f>
        <v>171</v>
      </c>
      <c r="B280">
        <v>65170852</v>
      </c>
      <c r="C280">
        <v>65171769</v>
      </c>
      <c r="D280">
        <v>56609983</v>
      </c>
      <c r="E280">
        <v>1</v>
      </c>
      <c r="F280">
        <v>1</v>
      </c>
      <c r="G280">
        <v>1</v>
      </c>
      <c r="H280">
        <v>3</v>
      </c>
      <c r="I280" t="s">
        <v>717</v>
      </c>
      <c r="J280" t="s">
        <v>718</v>
      </c>
      <c r="K280" t="s">
        <v>719</v>
      </c>
      <c r="L280">
        <v>1346</v>
      </c>
      <c r="N280">
        <v>1009</v>
      </c>
      <c r="O280" t="s">
        <v>549</v>
      </c>
      <c r="P280" t="s">
        <v>549</v>
      </c>
      <c r="Q280">
        <v>1</v>
      </c>
      <c r="W280">
        <v>0</v>
      </c>
      <c r="X280">
        <v>4985900</v>
      </c>
      <c r="Y280">
        <f t="shared" si="96"/>
        <v>2.2999999999999998</v>
      </c>
      <c r="AA280">
        <v>1121.22</v>
      </c>
      <c r="AB280">
        <v>0</v>
      </c>
      <c r="AC280">
        <v>0</v>
      </c>
      <c r="AD280">
        <v>0</v>
      </c>
      <c r="AE280">
        <v>911.56</v>
      </c>
      <c r="AF280">
        <v>0</v>
      </c>
      <c r="AG280">
        <v>0</v>
      </c>
      <c r="AH280">
        <v>0</v>
      </c>
      <c r="AI280">
        <v>1.23</v>
      </c>
      <c r="AJ280">
        <v>1</v>
      </c>
      <c r="AK280">
        <v>1</v>
      </c>
      <c r="AL280">
        <v>1</v>
      </c>
      <c r="AM280">
        <v>2</v>
      </c>
      <c r="AN280">
        <v>0</v>
      </c>
      <c r="AO280">
        <v>0</v>
      </c>
      <c r="AP280">
        <v>1</v>
      </c>
      <c r="AQ280">
        <v>1</v>
      </c>
      <c r="AR280">
        <v>0</v>
      </c>
      <c r="AS280" t="s">
        <v>3</v>
      </c>
      <c r="AT280">
        <v>2.2999999999999998</v>
      </c>
      <c r="AU280" t="s">
        <v>3</v>
      </c>
      <c r="AV280">
        <v>0</v>
      </c>
      <c r="AW280">
        <v>2</v>
      </c>
      <c r="AX280">
        <v>65171786</v>
      </c>
      <c r="AY280">
        <v>1</v>
      </c>
      <c r="AZ280">
        <v>0</v>
      </c>
      <c r="BA280">
        <v>288</v>
      </c>
      <c r="BB280">
        <v>1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2096.5879999999997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1</v>
      </c>
      <c r="BQ280">
        <v>2096.5879999999997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1</v>
      </c>
      <c r="CV280">
        <v>0</v>
      </c>
      <c r="CW280">
        <v>0</v>
      </c>
      <c r="CX280">
        <f>ROUND(Y280*Source!I171,7)</f>
        <v>0.96599999999999997</v>
      </c>
      <c r="CY280">
        <f>AA280</f>
        <v>1121.22</v>
      </c>
      <c r="CZ280">
        <f>AE280</f>
        <v>911.56</v>
      </c>
      <c r="DA280">
        <f>AI280</f>
        <v>1.23</v>
      </c>
      <c r="DB280">
        <f t="shared" si="97"/>
        <v>2096.59</v>
      </c>
      <c r="DC280">
        <f t="shared" si="98"/>
        <v>0</v>
      </c>
      <c r="DD280" t="s">
        <v>3</v>
      </c>
      <c r="DE280" t="s">
        <v>3</v>
      </c>
      <c r="DF280">
        <f>ROUND(ROUND(AE280*AI280,2)*CX280,2)</f>
        <v>1083.0999999999999</v>
      </c>
      <c r="DG280">
        <f t="shared" si="101"/>
        <v>0</v>
      </c>
      <c r="DH280">
        <f t="shared" si="90"/>
        <v>0</v>
      </c>
      <c r="DI280">
        <f t="shared" si="100"/>
        <v>0</v>
      </c>
      <c r="DJ280">
        <f>DF280</f>
        <v>1083.0999999999999</v>
      </c>
      <c r="DK280">
        <v>0</v>
      </c>
      <c r="DL280" t="s">
        <v>3</v>
      </c>
      <c r="DM280">
        <v>0</v>
      </c>
      <c r="DN280" t="s">
        <v>3</v>
      </c>
      <c r="DO280">
        <v>0</v>
      </c>
    </row>
    <row r="281" spans="1:119" x14ac:dyDescent="0.2">
      <c r="A281">
        <f>ROW(Source!A171)</f>
        <v>171</v>
      </c>
      <c r="B281">
        <v>65170852</v>
      </c>
      <c r="C281">
        <v>65171769</v>
      </c>
      <c r="D281">
        <v>56223463</v>
      </c>
      <c r="E281">
        <v>108</v>
      </c>
      <c r="F281">
        <v>1</v>
      </c>
      <c r="G281">
        <v>1</v>
      </c>
      <c r="H281">
        <v>3</v>
      </c>
      <c r="I281" t="s">
        <v>667</v>
      </c>
      <c r="J281" t="s">
        <v>3</v>
      </c>
      <c r="K281" t="s">
        <v>668</v>
      </c>
      <c r="L281">
        <v>3277935</v>
      </c>
      <c r="N281">
        <v>1013</v>
      </c>
      <c r="O281" t="s">
        <v>669</v>
      </c>
      <c r="P281" t="s">
        <v>669</v>
      </c>
      <c r="Q281">
        <v>1</v>
      </c>
      <c r="W281">
        <v>0</v>
      </c>
      <c r="X281">
        <v>274903907</v>
      </c>
      <c r="Y281">
        <f t="shared" si="96"/>
        <v>2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1</v>
      </c>
      <c r="AJ281">
        <v>1</v>
      </c>
      <c r="AK281">
        <v>1</v>
      </c>
      <c r="AL281">
        <v>1</v>
      </c>
      <c r="AM281">
        <v>-2</v>
      </c>
      <c r="AN281">
        <v>0</v>
      </c>
      <c r="AO281">
        <v>0</v>
      </c>
      <c r="AP281">
        <v>0</v>
      </c>
      <c r="AQ281">
        <v>1</v>
      </c>
      <c r="AR281">
        <v>0</v>
      </c>
      <c r="AS281" t="s">
        <v>3</v>
      </c>
      <c r="AT281">
        <v>2</v>
      </c>
      <c r="AU281" t="s">
        <v>3</v>
      </c>
      <c r="AV281">
        <v>0</v>
      </c>
      <c r="AW281">
        <v>2</v>
      </c>
      <c r="AX281">
        <v>65171787</v>
      </c>
      <c r="AY281">
        <v>1</v>
      </c>
      <c r="AZ281">
        <v>0</v>
      </c>
      <c r="BA281">
        <v>289</v>
      </c>
      <c r="BB281">
        <v>1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CV281">
        <v>0</v>
      </c>
      <c r="CW281">
        <v>0</v>
      </c>
      <c r="CX281">
        <f>ROUND(Y281*Source!I171,7)</f>
        <v>0.84</v>
      </c>
      <c r="CY281">
        <f>AA281</f>
        <v>0</v>
      </c>
      <c r="CZ281">
        <f>AE281</f>
        <v>0</v>
      </c>
      <c r="DA281">
        <f>AI281</f>
        <v>1</v>
      </c>
      <c r="DB281">
        <f t="shared" si="97"/>
        <v>0</v>
      </c>
      <c r="DC281">
        <f t="shared" si="98"/>
        <v>0</v>
      </c>
      <c r="DD281" t="s">
        <v>3</v>
      </c>
      <c r="DE281" t="s">
        <v>3</v>
      </c>
      <c r="DF281">
        <f t="shared" ref="DF281:DF286" si="102">ROUND(ROUND(AE281,2)*CX281,2)</f>
        <v>0</v>
      </c>
      <c r="DG281">
        <f t="shared" si="101"/>
        <v>0</v>
      </c>
      <c r="DH281">
        <f t="shared" si="90"/>
        <v>0</v>
      </c>
      <c r="DI281">
        <f t="shared" si="100"/>
        <v>0</v>
      </c>
      <c r="DJ281">
        <f>DF281</f>
        <v>0</v>
      </c>
      <c r="DK281">
        <v>0</v>
      </c>
      <c r="DL281" t="s">
        <v>3</v>
      </c>
      <c r="DM281">
        <v>0</v>
      </c>
      <c r="DN281" t="s">
        <v>3</v>
      </c>
      <c r="DO281">
        <v>0</v>
      </c>
    </row>
    <row r="282" spans="1:119" x14ac:dyDescent="0.2">
      <c r="A282">
        <f>ROW(Source!A172)</f>
        <v>172</v>
      </c>
      <c r="B282">
        <v>65170852</v>
      </c>
      <c r="C282">
        <v>65171788</v>
      </c>
      <c r="D282">
        <v>37064878</v>
      </c>
      <c r="E282">
        <v>108</v>
      </c>
      <c r="F282">
        <v>1</v>
      </c>
      <c r="G282">
        <v>1</v>
      </c>
      <c r="H282">
        <v>1</v>
      </c>
      <c r="I282" t="s">
        <v>715</v>
      </c>
      <c r="J282" t="s">
        <v>3</v>
      </c>
      <c r="K282" t="s">
        <v>716</v>
      </c>
      <c r="L282">
        <v>1191</v>
      </c>
      <c r="N282">
        <v>1013</v>
      </c>
      <c r="O282" t="s">
        <v>509</v>
      </c>
      <c r="P282" t="s">
        <v>509</v>
      </c>
      <c r="Q282">
        <v>1</v>
      </c>
      <c r="W282">
        <v>0</v>
      </c>
      <c r="X282">
        <v>-2012709214</v>
      </c>
      <c r="Y282">
        <f t="shared" si="96"/>
        <v>18.5</v>
      </c>
      <c r="AA282">
        <v>0</v>
      </c>
      <c r="AB282">
        <v>0</v>
      </c>
      <c r="AC282">
        <v>0</v>
      </c>
      <c r="AD282">
        <v>479.56</v>
      </c>
      <c r="AE282">
        <v>0</v>
      </c>
      <c r="AF282">
        <v>0</v>
      </c>
      <c r="AG282">
        <v>0</v>
      </c>
      <c r="AH282">
        <v>479.56</v>
      </c>
      <c r="AI282">
        <v>1</v>
      </c>
      <c r="AJ282">
        <v>1</v>
      </c>
      <c r="AK282">
        <v>1</v>
      </c>
      <c r="AL282">
        <v>1</v>
      </c>
      <c r="AM282">
        <v>-2</v>
      </c>
      <c r="AN282">
        <v>0</v>
      </c>
      <c r="AO282">
        <v>0</v>
      </c>
      <c r="AP282">
        <v>1</v>
      </c>
      <c r="AQ282">
        <v>1</v>
      </c>
      <c r="AR282">
        <v>0</v>
      </c>
      <c r="AS282" t="s">
        <v>3</v>
      </c>
      <c r="AT282">
        <v>18.5</v>
      </c>
      <c r="AU282" t="s">
        <v>3</v>
      </c>
      <c r="AV282">
        <v>1</v>
      </c>
      <c r="AW282">
        <v>2</v>
      </c>
      <c r="AX282">
        <v>65171797</v>
      </c>
      <c r="AY282">
        <v>1</v>
      </c>
      <c r="AZ282">
        <v>0</v>
      </c>
      <c r="BA282">
        <v>290</v>
      </c>
      <c r="BB282">
        <v>1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8871.86</v>
      </c>
      <c r="BN282">
        <v>18.5</v>
      </c>
      <c r="BO282">
        <v>0</v>
      </c>
      <c r="BP282">
        <v>1</v>
      </c>
      <c r="BQ282">
        <v>0</v>
      </c>
      <c r="BR282">
        <v>0</v>
      </c>
      <c r="BS282">
        <v>0</v>
      </c>
      <c r="BT282">
        <v>8871.86</v>
      </c>
      <c r="BU282">
        <v>18.5</v>
      </c>
      <c r="BV282">
        <v>0</v>
      </c>
      <c r="BW282">
        <v>1</v>
      </c>
      <c r="CU282">
        <f>ROUND(AT282*Source!I172*AH282*AL282,2)</f>
        <v>887.19</v>
      </c>
      <c r="CV282">
        <f>ROUND(Y282*Source!I172,7)</f>
        <v>1.85</v>
      </c>
      <c r="CW282">
        <v>0</v>
      </c>
      <c r="CX282">
        <f>ROUND(Y282*Source!I172,7)</f>
        <v>1.85</v>
      </c>
      <c r="CY282">
        <f>AD282</f>
        <v>479.56</v>
      </c>
      <c r="CZ282">
        <f>AH282</f>
        <v>479.56</v>
      </c>
      <c r="DA282">
        <f>AL282</f>
        <v>1</v>
      </c>
      <c r="DB282">
        <f t="shared" si="97"/>
        <v>8871.86</v>
      </c>
      <c r="DC282">
        <f t="shared" si="98"/>
        <v>0</v>
      </c>
      <c r="DD282" t="s">
        <v>3</v>
      </c>
      <c r="DE282" t="s">
        <v>3</v>
      </c>
      <c r="DF282">
        <f t="shared" si="102"/>
        <v>0</v>
      </c>
      <c r="DG282">
        <f t="shared" si="101"/>
        <v>0</v>
      </c>
      <c r="DH282">
        <f t="shared" si="90"/>
        <v>0</v>
      </c>
      <c r="DI282">
        <f t="shared" si="100"/>
        <v>887.19</v>
      </c>
      <c r="DJ282">
        <f>DI282</f>
        <v>887.19</v>
      </c>
      <c r="DK282">
        <v>1</v>
      </c>
      <c r="DL282" t="s">
        <v>3</v>
      </c>
      <c r="DM282">
        <v>0</v>
      </c>
      <c r="DN282" t="s">
        <v>3</v>
      </c>
      <c r="DO282">
        <v>0</v>
      </c>
    </row>
    <row r="283" spans="1:119" x14ac:dyDescent="0.2">
      <c r="A283">
        <f>ROW(Source!A172)</f>
        <v>172</v>
      </c>
      <c r="B283">
        <v>65170852</v>
      </c>
      <c r="C283">
        <v>65171788</v>
      </c>
      <c r="D283">
        <v>37064876</v>
      </c>
      <c r="E283">
        <v>108</v>
      </c>
      <c r="F283">
        <v>1</v>
      </c>
      <c r="G283">
        <v>1</v>
      </c>
      <c r="H283">
        <v>1</v>
      </c>
      <c r="I283" t="s">
        <v>510</v>
      </c>
      <c r="J283" t="s">
        <v>3</v>
      </c>
      <c r="K283" t="s">
        <v>511</v>
      </c>
      <c r="L283">
        <v>1191</v>
      </c>
      <c r="N283">
        <v>1013</v>
      </c>
      <c r="O283" t="s">
        <v>509</v>
      </c>
      <c r="P283" t="s">
        <v>509</v>
      </c>
      <c r="Q283">
        <v>1</v>
      </c>
      <c r="W283">
        <v>0</v>
      </c>
      <c r="X283">
        <v>-1417349443</v>
      </c>
      <c r="Y283">
        <f t="shared" si="96"/>
        <v>0.34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1</v>
      </c>
      <c r="AJ283">
        <v>1</v>
      </c>
      <c r="AK283">
        <v>1</v>
      </c>
      <c r="AL283">
        <v>1</v>
      </c>
      <c r="AM283">
        <v>-2</v>
      </c>
      <c r="AN283">
        <v>0</v>
      </c>
      <c r="AO283">
        <v>0</v>
      </c>
      <c r="AP283">
        <v>1</v>
      </c>
      <c r="AQ283">
        <v>1</v>
      </c>
      <c r="AR283">
        <v>0</v>
      </c>
      <c r="AS283" t="s">
        <v>3</v>
      </c>
      <c r="AT283">
        <v>0.34</v>
      </c>
      <c r="AU283" t="s">
        <v>3</v>
      </c>
      <c r="AV283">
        <v>2</v>
      </c>
      <c r="AW283">
        <v>2</v>
      </c>
      <c r="AX283">
        <v>65171798</v>
      </c>
      <c r="AY283">
        <v>1</v>
      </c>
      <c r="AZ283">
        <v>0</v>
      </c>
      <c r="BA283">
        <v>291</v>
      </c>
      <c r="BB283">
        <v>1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CV283">
        <v>0</v>
      </c>
      <c r="CW283">
        <v>0</v>
      </c>
      <c r="CX283">
        <f>ROUND(Y283*Source!I172,7)</f>
        <v>3.4000000000000002E-2</v>
      </c>
      <c r="CY283">
        <f>AD283</f>
        <v>0</v>
      </c>
      <c r="CZ283">
        <f>AH283</f>
        <v>0</v>
      </c>
      <c r="DA283">
        <f>AL283</f>
        <v>1</v>
      </c>
      <c r="DB283">
        <f t="shared" si="97"/>
        <v>0</v>
      </c>
      <c r="DC283">
        <f t="shared" si="98"/>
        <v>0</v>
      </c>
      <c r="DD283" t="s">
        <v>3</v>
      </c>
      <c r="DE283" t="s">
        <v>3</v>
      </c>
      <c r="DF283">
        <f t="shared" si="102"/>
        <v>0</v>
      </c>
      <c r="DG283">
        <f t="shared" si="101"/>
        <v>0</v>
      </c>
      <c r="DH283">
        <f t="shared" si="90"/>
        <v>0</v>
      </c>
      <c r="DI283">
        <f t="shared" si="100"/>
        <v>0</v>
      </c>
      <c r="DJ283">
        <f>DI283</f>
        <v>0</v>
      </c>
      <c r="DK283">
        <v>0</v>
      </c>
      <c r="DL283" t="s">
        <v>3</v>
      </c>
      <c r="DM283">
        <v>0</v>
      </c>
      <c r="DN283" t="s">
        <v>3</v>
      </c>
      <c r="DO283">
        <v>0</v>
      </c>
    </row>
    <row r="284" spans="1:119" x14ac:dyDescent="0.2">
      <c r="A284">
        <f>ROW(Source!A172)</f>
        <v>172</v>
      </c>
      <c r="B284">
        <v>65170852</v>
      </c>
      <c r="C284">
        <v>65171788</v>
      </c>
      <c r="D284">
        <v>56571417</v>
      </c>
      <c r="E284">
        <v>1</v>
      </c>
      <c r="F284">
        <v>1</v>
      </c>
      <c r="G284">
        <v>1</v>
      </c>
      <c r="H284">
        <v>2</v>
      </c>
      <c r="I284" t="s">
        <v>512</v>
      </c>
      <c r="J284" t="s">
        <v>513</v>
      </c>
      <c r="K284" t="s">
        <v>514</v>
      </c>
      <c r="L284">
        <v>1368</v>
      </c>
      <c r="N284">
        <v>1011</v>
      </c>
      <c r="O284" t="s">
        <v>515</v>
      </c>
      <c r="P284" t="s">
        <v>515</v>
      </c>
      <c r="Q284">
        <v>1</v>
      </c>
      <c r="W284">
        <v>0</v>
      </c>
      <c r="X284">
        <v>-848025172</v>
      </c>
      <c r="Y284">
        <f t="shared" si="96"/>
        <v>0.17</v>
      </c>
      <c r="AA284">
        <v>0</v>
      </c>
      <c r="AB284">
        <v>1551.19</v>
      </c>
      <c r="AC284">
        <v>658.94</v>
      </c>
      <c r="AD284">
        <v>0</v>
      </c>
      <c r="AE284">
        <v>0</v>
      </c>
      <c r="AF284">
        <v>1551.19</v>
      </c>
      <c r="AG284">
        <v>658.94</v>
      </c>
      <c r="AH284">
        <v>0</v>
      </c>
      <c r="AI284">
        <v>1</v>
      </c>
      <c r="AJ284">
        <v>1</v>
      </c>
      <c r="AK284">
        <v>1</v>
      </c>
      <c r="AL284">
        <v>1</v>
      </c>
      <c r="AM284">
        <v>-2</v>
      </c>
      <c r="AN284">
        <v>0</v>
      </c>
      <c r="AO284">
        <v>0</v>
      </c>
      <c r="AP284">
        <v>1</v>
      </c>
      <c r="AQ284">
        <v>1</v>
      </c>
      <c r="AR284">
        <v>0</v>
      </c>
      <c r="AS284" t="s">
        <v>3</v>
      </c>
      <c r="AT284">
        <v>0.17</v>
      </c>
      <c r="AU284" t="s">
        <v>3</v>
      </c>
      <c r="AV284">
        <v>1</v>
      </c>
      <c r="AW284">
        <v>2</v>
      </c>
      <c r="AX284">
        <v>65171799</v>
      </c>
      <c r="AY284">
        <v>1</v>
      </c>
      <c r="AZ284">
        <v>0</v>
      </c>
      <c r="BA284">
        <v>292</v>
      </c>
      <c r="BB284">
        <v>1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263.70230000000004</v>
      </c>
      <c r="BL284">
        <v>112.01980000000002</v>
      </c>
      <c r="BM284">
        <v>0</v>
      </c>
      <c r="BN284">
        <v>0</v>
      </c>
      <c r="BO284">
        <v>0.17</v>
      </c>
      <c r="BP284">
        <v>1</v>
      </c>
      <c r="BQ284">
        <v>0</v>
      </c>
      <c r="BR284">
        <v>263.70230000000004</v>
      </c>
      <c r="BS284">
        <v>112.01980000000002</v>
      </c>
      <c r="BT284">
        <v>0</v>
      </c>
      <c r="BU284">
        <v>0</v>
      </c>
      <c r="BV284">
        <v>0.17</v>
      </c>
      <c r="BW284">
        <v>1</v>
      </c>
      <c r="CV284">
        <v>0</v>
      </c>
      <c r="CW284">
        <f>ROUND(Y284*Source!I172*DO284,7)</f>
        <v>1.7000000000000001E-2</v>
      </c>
      <c r="CX284">
        <f>ROUND(Y284*Source!I172,7)</f>
        <v>1.7000000000000001E-2</v>
      </c>
      <c r="CY284">
        <f>AB284</f>
        <v>1551.19</v>
      </c>
      <c r="CZ284">
        <f>AF284</f>
        <v>1551.19</v>
      </c>
      <c r="DA284">
        <f>AJ284</f>
        <v>1</v>
      </c>
      <c r="DB284">
        <f t="shared" si="97"/>
        <v>263.7</v>
      </c>
      <c r="DC284">
        <f t="shared" si="98"/>
        <v>112.02</v>
      </c>
      <c r="DD284" t="s">
        <v>3</v>
      </c>
      <c r="DE284" t="s">
        <v>3</v>
      </c>
      <c r="DF284">
        <f t="shared" si="102"/>
        <v>0</v>
      </c>
      <c r="DG284">
        <f t="shared" si="101"/>
        <v>26.37</v>
      </c>
      <c r="DH284">
        <f t="shared" si="90"/>
        <v>11.2</v>
      </c>
      <c r="DI284">
        <f t="shared" si="100"/>
        <v>0</v>
      </c>
      <c r="DJ284">
        <f>DG284+DH284</f>
        <v>37.57</v>
      </c>
      <c r="DK284">
        <v>1</v>
      </c>
      <c r="DL284" t="s">
        <v>516</v>
      </c>
      <c r="DM284">
        <v>6</v>
      </c>
      <c r="DN284" t="s">
        <v>509</v>
      </c>
      <c r="DO284">
        <v>1</v>
      </c>
    </row>
    <row r="285" spans="1:119" x14ac:dyDescent="0.2">
      <c r="A285">
        <f>ROW(Source!A172)</f>
        <v>172</v>
      </c>
      <c r="B285">
        <v>65170852</v>
      </c>
      <c r="C285">
        <v>65171788</v>
      </c>
      <c r="D285">
        <v>56572833</v>
      </c>
      <c r="E285">
        <v>1</v>
      </c>
      <c r="F285">
        <v>1</v>
      </c>
      <c r="G285">
        <v>1</v>
      </c>
      <c r="H285">
        <v>2</v>
      </c>
      <c r="I285" t="s">
        <v>520</v>
      </c>
      <c r="J285" t="s">
        <v>521</v>
      </c>
      <c r="K285" t="s">
        <v>522</v>
      </c>
      <c r="L285">
        <v>1368</v>
      </c>
      <c r="N285">
        <v>1011</v>
      </c>
      <c r="O285" t="s">
        <v>515</v>
      </c>
      <c r="P285" t="s">
        <v>515</v>
      </c>
      <c r="Q285">
        <v>1</v>
      </c>
      <c r="W285">
        <v>0</v>
      </c>
      <c r="X285">
        <v>1230426758</v>
      </c>
      <c r="Y285">
        <f t="shared" si="96"/>
        <v>0.17</v>
      </c>
      <c r="AA285">
        <v>0</v>
      </c>
      <c r="AB285">
        <v>578.28</v>
      </c>
      <c r="AC285">
        <v>490.55</v>
      </c>
      <c r="AD285">
        <v>0</v>
      </c>
      <c r="AE285">
        <v>0</v>
      </c>
      <c r="AF285">
        <v>477.92</v>
      </c>
      <c r="AG285">
        <v>490.55</v>
      </c>
      <c r="AH285">
        <v>0</v>
      </c>
      <c r="AI285">
        <v>1</v>
      </c>
      <c r="AJ285">
        <v>1.21</v>
      </c>
      <c r="AK285">
        <v>1</v>
      </c>
      <c r="AL285">
        <v>1</v>
      </c>
      <c r="AM285">
        <v>2</v>
      </c>
      <c r="AN285">
        <v>0</v>
      </c>
      <c r="AO285">
        <v>0</v>
      </c>
      <c r="AP285">
        <v>1</v>
      </c>
      <c r="AQ285">
        <v>1</v>
      </c>
      <c r="AR285">
        <v>0</v>
      </c>
      <c r="AS285" t="s">
        <v>3</v>
      </c>
      <c r="AT285">
        <v>0.17</v>
      </c>
      <c r="AU285" t="s">
        <v>3</v>
      </c>
      <c r="AV285">
        <v>1</v>
      </c>
      <c r="AW285">
        <v>2</v>
      </c>
      <c r="AX285">
        <v>65171800</v>
      </c>
      <c r="AY285">
        <v>1</v>
      </c>
      <c r="AZ285">
        <v>0</v>
      </c>
      <c r="BA285">
        <v>293</v>
      </c>
      <c r="BB285">
        <v>1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81.246400000000008</v>
      </c>
      <c r="BL285">
        <v>83.393500000000003</v>
      </c>
      <c r="BM285">
        <v>0</v>
      </c>
      <c r="BN285">
        <v>0</v>
      </c>
      <c r="BO285">
        <v>0.17</v>
      </c>
      <c r="BP285">
        <v>1</v>
      </c>
      <c r="BQ285">
        <v>0</v>
      </c>
      <c r="BR285">
        <v>81.246400000000008</v>
      </c>
      <c r="BS285">
        <v>83.393500000000003</v>
      </c>
      <c r="BT285">
        <v>0</v>
      </c>
      <c r="BU285">
        <v>0</v>
      </c>
      <c r="BV285">
        <v>0.17</v>
      </c>
      <c r="BW285">
        <v>1</v>
      </c>
      <c r="CV285">
        <v>0</v>
      </c>
      <c r="CW285">
        <f>ROUND(Y285*Source!I172*DO285,7)</f>
        <v>1.7000000000000001E-2</v>
      </c>
      <c r="CX285">
        <f>ROUND(Y285*Source!I172,7)</f>
        <v>1.7000000000000001E-2</v>
      </c>
      <c r="CY285">
        <f>AB285</f>
        <v>578.28</v>
      </c>
      <c r="CZ285">
        <f>AF285</f>
        <v>477.92</v>
      </c>
      <c r="DA285">
        <f>AJ285</f>
        <v>1.21</v>
      </c>
      <c r="DB285">
        <f t="shared" si="97"/>
        <v>81.25</v>
      </c>
      <c r="DC285">
        <f t="shared" si="98"/>
        <v>83.39</v>
      </c>
      <c r="DD285" t="s">
        <v>3</v>
      </c>
      <c r="DE285" t="s">
        <v>3</v>
      </c>
      <c r="DF285">
        <f t="shared" si="102"/>
        <v>0</v>
      </c>
      <c r="DG285">
        <f>ROUND(ROUND(AF285*AJ285,2)*CX285,2)</f>
        <v>9.83</v>
      </c>
      <c r="DH285">
        <f t="shared" si="90"/>
        <v>8.34</v>
      </c>
      <c r="DI285">
        <f t="shared" si="100"/>
        <v>0</v>
      </c>
      <c r="DJ285">
        <f>DG285+DH285</f>
        <v>18.170000000000002</v>
      </c>
      <c r="DK285">
        <v>0</v>
      </c>
      <c r="DL285" t="s">
        <v>523</v>
      </c>
      <c r="DM285">
        <v>4</v>
      </c>
      <c r="DN285" t="s">
        <v>509</v>
      </c>
      <c r="DO285">
        <v>1</v>
      </c>
    </row>
    <row r="286" spans="1:119" x14ac:dyDescent="0.2">
      <c r="A286">
        <f>ROW(Source!A172)</f>
        <v>172</v>
      </c>
      <c r="B286">
        <v>65170852</v>
      </c>
      <c r="C286">
        <v>65171788</v>
      </c>
      <c r="D286">
        <v>56573153</v>
      </c>
      <c r="E286">
        <v>1</v>
      </c>
      <c r="F286">
        <v>1</v>
      </c>
      <c r="G286">
        <v>1</v>
      </c>
      <c r="H286">
        <v>2</v>
      </c>
      <c r="I286" t="s">
        <v>655</v>
      </c>
      <c r="J286" t="s">
        <v>656</v>
      </c>
      <c r="K286" t="s">
        <v>657</v>
      </c>
      <c r="L286">
        <v>1368</v>
      </c>
      <c r="N286">
        <v>1011</v>
      </c>
      <c r="O286" t="s">
        <v>515</v>
      </c>
      <c r="P286" t="s">
        <v>515</v>
      </c>
      <c r="Q286">
        <v>1</v>
      </c>
      <c r="W286">
        <v>0</v>
      </c>
      <c r="X286">
        <v>1280601743</v>
      </c>
      <c r="Y286">
        <f t="shared" si="96"/>
        <v>2.9</v>
      </c>
      <c r="AA286">
        <v>0</v>
      </c>
      <c r="AB286">
        <v>26.32</v>
      </c>
      <c r="AC286">
        <v>0</v>
      </c>
      <c r="AD286">
        <v>0</v>
      </c>
      <c r="AE286">
        <v>0</v>
      </c>
      <c r="AF286">
        <v>26.32</v>
      </c>
      <c r="AG286">
        <v>0</v>
      </c>
      <c r="AH286">
        <v>0</v>
      </c>
      <c r="AI286">
        <v>1</v>
      </c>
      <c r="AJ286">
        <v>1</v>
      </c>
      <c r="AK286">
        <v>1</v>
      </c>
      <c r="AL286">
        <v>1</v>
      </c>
      <c r="AM286">
        <v>-2</v>
      </c>
      <c r="AN286">
        <v>0</v>
      </c>
      <c r="AO286">
        <v>0</v>
      </c>
      <c r="AP286">
        <v>1</v>
      </c>
      <c r="AQ286">
        <v>1</v>
      </c>
      <c r="AR286">
        <v>0</v>
      </c>
      <c r="AS286" t="s">
        <v>3</v>
      </c>
      <c r="AT286">
        <v>2.9</v>
      </c>
      <c r="AU286" t="s">
        <v>3</v>
      </c>
      <c r="AV286">
        <v>1</v>
      </c>
      <c r="AW286">
        <v>2</v>
      </c>
      <c r="AX286">
        <v>65171801</v>
      </c>
      <c r="AY286">
        <v>1</v>
      </c>
      <c r="AZ286">
        <v>0</v>
      </c>
      <c r="BA286">
        <v>294</v>
      </c>
      <c r="BB286">
        <v>1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76.328000000000003</v>
      </c>
      <c r="BL286">
        <v>0</v>
      </c>
      <c r="BM286">
        <v>0</v>
      </c>
      <c r="BN286">
        <v>0</v>
      </c>
      <c r="BO286">
        <v>0</v>
      </c>
      <c r="BP286">
        <v>1</v>
      </c>
      <c r="BQ286">
        <v>0</v>
      </c>
      <c r="BR286">
        <v>76.328000000000003</v>
      </c>
      <c r="BS286">
        <v>0</v>
      </c>
      <c r="BT286">
        <v>0</v>
      </c>
      <c r="BU286">
        <v>0</v>
      </c>
      <c r="BV286">
        <v>0</v>
      </c>
      <c r="BW286">
        <v>1</v>
      </c>
      <c r="CV286">
        <v>0</v>
      </c>
      <c r="CW286">
        <f>ROUND(Y286*Source!I172*DO286,7)</f>
        <v>0</v>
      </c>
      <c r="CX286">
        <f>ROUND(Y286*Source!I172,7)</f>
        <v>0.28999999999999998</v>
      </c>
      <c r="CY286">
        <f>AB286</f>
        <v>26.32</v>
      </c>
      <c r="CZ286">
        <f>AF286</f>
        <v>26.32</v>
      </c>
      <c r="DA286">
        <f>AJ286</f>
        <v>1</v>
      </c>
      <c r="DB286">
        <f t="shared" si="97"/>
        <v>76.33</v>
      </c>
      <c r="DC286">
        <f t="shared" si="98"/>
        <v>0</v>
      </c>
      <c r="DD286" t="s">
        <v>3</v>
      </c>
      <c r="DE286" t="s">
        <v>3</v>
      </c>
      <c r="DF286">
        <f t="shared" si="102"/>
        <v>0</v>
      </c>
      <c r="DG286">
        <f t="shared" ref="DG286:DG325" si="103">ROUND(ROUND(AF286,2)*CX286,2)</f>
        <v>7.63</v>
      </c>
      <c r="DH286">
        <f t="shared" si="90"/>
        <v>0</v>
      </c>
      <c r="DI286">
        <f t="shared" si="100"/>
        <v>0</v>
      </c>
      <c r="DJ286">
        <f>DG286+DH286</f>
        <v>7.63</v>
      </c>
      <c r="DK286">
        <v>1</v>
      </c>
      <c r="DL286" t="s">
        <v>3</v>
      </c>
      <c r="DM286">
        <v>0</v>
      </c>
      <c r="DN286" t="s">
        <v>3</v>
      </c>
      <c r="DO286">
        <v>0</v>
      </c>
    </row>
    <row r="287" spans="1:119" x14ac:dyDescent="0.2">
      <c r="A287">
        <f>ROW(Source!A172)</f>
        <v>172</v>
      </c>
      <c r="B287">
        <v>65170852</v>
      </c>
      <c r="C287">
        <v>65171788</v>
      </c>
      <c r="D287">
        <v>56579266</v>
      </c>
      <c r="E287">
        <v>1</v>
      </c>
      <c r="F287">
        <v>1</v>
      </c>
      <c r="G287">
        <v>1</v>
      </c>
      <c r="H287">
        <v>3</v>
      </c>
      <c r="I287" t="s">
        <v>550</v>
      </c>
      <c r="J287" t="s">
        <v>551</v>
      </c>
      <c r="K287" t="s">
        <v>552</v>
      </c>
      <c r="L287">
        <v>1346</v>
      </c>
      <c r="N287">
        <v>1009</v>
      </c>
      <c r="O287" t="s">
        <v>549</v>
      </c>
      <c r="P287" t="s">
        <v>549</v>
      </c>
      <c r="Q287">
        <v>1</v>
      </c>
      <c r="W287">
        <v>0</v>
      </c>
      <c r="X287">
        <v>-1545686836</v>
      </c>
      <c r="Y287">
        <f t="shared" si="96"/>
        <v>0.9</v>
      </c>
      <c r="AA287">
        <v>147.85</v>
      </c>
      <c r="AB287">
        <v>0</v>
      </c>
      <c r="AC287">
        <v>0</v>
      </c>
      <c r="AD287">
        <v>0</v>
      </c>
      <c r="AE287">
        <v>155.63</v>
      </c>
      <c r="AF287">
        <v>0</v>
      </c>
      <c r="AG287">
        <v>0</v>
      </c>
      <c r="AH287">
        <v>0</v>
      </c>
      <c r="AI287">
        <v>0.95</v>
      </c>
      <c r="AJ287">
        <v>1</v>
      </c>
      <c r="AK287">
        <v>1</v>
      </c>
      <c r="AL287">
        <v>1</v>
      </c>
      <c r="AM287">
        <v>2</v>
      </c>
      <c r="AN287">
        <v>0</v>
      </c>
      <c r="AO287">
        <v>0</v>
      </c>
      <c r="AP287">
        <v>0</v>
      </c>
      <c r="AQ287">
        <v>1</v>
      </c>
      <c r="AR287">
        <v>0</v>
      </c>
      <c r="AS287" t="s">
        <v>3</v>
      </c>
      <c r="AT287">
        <v>0.9</v>
      </c>
      <c r="AU287" t="s">
        <v>3</v>
      </c>
      <c r="AV287">
        <v>0</v>
      </c>
      <c r="AW287">
        <v>2</v>
      </c>
      <c r="AX287">
        <v>65171802</v>
      </c>
      <c r="AY287">
        <v>1</v>
      </c>
      <c r="AZ287">
        <v>0</v>
      </c>
      <c r="BA287">
        <v>295</v>
      </c>
      <c r="BB287">
        <v>1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140.06700000000001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1</v>
      </c>
      <c r="BQ287">
        <v>140.06700000000001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1</v>
      </c>
      <c r="CV287">
        <v>0</v>
      </c>
      <c r="CW287">
        <v>0</v>
      </c>
      <c r="CX287">
        <f>ROUND(Y287*Source!I172,7)</f>
        <v>0.09</v>
      </c>
      <c r="CY287">
        <f>AA287</f>
        <v>147.85</v>
      </c>
      <c r="CZ287">
        <f>AE287</f>
        <v>155.63</v>
      </c>
      <c r="DA287">
        <f>AI287</f>
        <v>0.95</v>
      </c>
      <c r="DB287">
        <f t="shared" si="97"/>
        <v>140.07</v>
      </c>
      <c r="DC287">
        <f t="shared" si="98"/>
        <v>0</v>
      </c>
      <c r="DD287" t="s">
        <v>3</v>
      </c>
      <c r="DE287" t="s">
        <v>3</v>
      </c>
      <c r="DF287">
        <f>ROUND(ROUND(AE287*AI287,2)*CX287,2)</f>
        <v>13.31</v>
      </c>
      <c r="DG287">
        <f t="shared" si="103"/>
        <v>0</v>
      </c>
      <c r="DH287">
        <f t="shared" si="90"/>
        <v>0</v>
      </c>
      <c r="DI287">
        <f t="shared" si="100"/>
        <v>0</v>
      </c>
      <c r="DJ287">
        <f>DF287</f>
        <v>13.31</v>
      </c>
      <c r="DK287">
        <v>0</v>
      </c>
      <c r="DL287" t="s">
        <v>3</v>
      </c>
      <c r="DM287">
        <v>0</v>
      </c>
      <c r="DN287" t="s">
        <v>3</v>
      </c>
      <c r="DO287">
        <v>0</v>
      </c>
    </row>
    <row r="288" spans="1:119" x14ac:dyDescent="0.2">
      <c r="A288">
        <f>ROW(Source!A172)</f>
        <v>172</v>
      </c>
      <c r="B288">
        <v>65170852</v>
      </c>
      <c r="C288">
        <v>65171788</v>
      </c>
      <c r="D288">
        <v>56592692</v>
      </c>
      <c r="E288">
        <v>1</v>
      </c>
      <c r="F288">
        <v>1</v>
      </c>
      <c r="G288">
        <v>1</v>
      </c>
      <c r="H288">
        <v>3</v>
      </c>
      <c r="I288" t="s">
        <v>720</v>
      </c>
      <c r="J288" t="s">
        <v>721</v>
      </c>
      <c r="K288" t="s">
        <v>722</v>
      </c>
      <c r="L288">
        <v>1348</v>
      </c>
      <c r="N288">
        <v>1009</v>
      </c>
      <c r="O288" t="s">
        <v>94</v>
      </c>
      <c r="P288" t="s">
        <v>94</v>
      </c>
      <c r="Q288">
        <v>1000</v>
      </c>
      <c r="W288">
        <v>0</v>
      </c>
      <c r="X288">
        <v>-994423950</v>
      </c>
      <c r="Y288">
        <f t="shared" si="96"/>
        <v>4.0000000000000001E-3</v>
      </c>
      <c r="AA288">
        <v>61173.09</v>
      </c>
      <c r="AB288">
        <v>0</v>
      </c>
      <c r="AC288">
        <v>0</v>
      </c>
      <c r="AD288">
        <v>0</v>
      </c>
      <c r="AE288">
        <v>71131.5</v>
      </c>
      <c r="AF288">
        <v>0</v>
      </c>
      <c r="AG288">
        <v>0</v>
      </c>
      <c r="AH288">
        <v>0</v>
      </c>
      <c r="AI288">
        <v>0.86</v>
      </c>
      <c r="AJ288">
        <v>1</v>
      </c>
      <c r="AK288">
        <v>1</v>
      </c>
      <c r="AL288">
        <v>1</v>
      </c>
      <c r="AM288">
        <v>2</v>
      </c>
      <c r="AN288">
        <v>0</v>
      </c>
      <c r="AO288">
        <v>0</v>
      </c>
      <c r="AP288">
        <v>0</v>
      </c>
      <c r="AQ288">
        <v>1</v>
      </c>
      <c r="AR288">
        <v>0</v>
      </c>
      <c r="AS288" t="s">
        <v>3</v>
      </c>
      <c r="AT288">
        <v>4.0000000000000001E-3</v>
      </c>
      <c r="AU288" t="s">
        <v>3</v>
      </c>
      <c r="AV288">
        <v>0</v>
      </c>
      <c r="AW288">
        <v>2</v>
      </c>
      <c r="AX288">
        <v>65171803</v>
      </c>
      <c r="AY288">
        <v>1</v>
      </c>
      <c r="AZ288">
        <v>0</v>
      </c>
      <c r="BA288">
        <v>296</v>
      </c>
      <c r="BB288">
        <v>1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284.52600000000001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1</v>
      </c>
      <c r="BQ288">
        <v>284.52600000000001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1</v>
      </c>
      <c r="CV288">
        <v>0</v>
      </c>
      <c r="CW288">
        <v>0</v>
      </c>
      <c r="CX288">
        <f>ROUND(Y288*Source!I172,7)</f>
        <v>4.0000000000000002E-4</v>
      </c>
      <c r="CY288">
        <f>AA288</f>
        <v>61173.09</v>
      </c>
      <c r="CZ288">
        <f>AE288</f>
        <v>71131.5</v>
      </c>
      <c r="DA288">
        <f>AI288</f>
        <v>0.86</v>
      </c>
      <c r="DB288">
        <f t="shared" si="97"/>
        <v>284.52999999999997</v>
      </c>
      <c r="DC288">
        <f t="shared" si="98"/>
        <v>0</v>
      </c>
      <c r="DD288" t="s">
        <v>3</v>
      </c>
      <c r="DE288" t="s">
        <v>3</v>
      </c>
      <c r="DF288">
        <f>ROUND(ROUND(AE288*AI288,2)*CX288,2)</f>
        <v>24.47</v>
      </c>
      <c r="DG288">
        <f t="shared" si="103"/>
        <v>0</v>
      </c>
      <c r="DH288">
        <f t="shared" si="90"/>
        <v>0</v>
      </c>
      <c r="DI288">
        <f t="shared" si="100"/>
        <v>0</v>
      </c>
      <c r="DJ288">
        <f>DF288</f>
        <v>24.47</v>
      </c>
      <c r="DK288">
        <v>0</v>
      </c>
      <c r="DL288" t="s">
        <v>3</v>
      </c>
      <c r="DM288">
        <v>0</v>
      </c>
      <c r="DN288" t="s">
        <v>3</v>
      </c>
      <c r="DO288">
        <v>0</v>
      </c>
    </row>
    <row r="289" spans="1:119" x14ac:dyDescent="0.2">
      <c r="A289">
        <f>ROW(Source!A172)</f>
        <v>172</v>
      </c>
      <c r="B289">
        <v>65170852</v>
      </c>
      <c r="C289">
        <v>65171788</v>
      </c>
      <c r="D289">
        <v>56609983</v>
      </c>
      <c r="E289">
        <v>1</v>
      </c>
      <c r="F289">
        <v>1</v>
      </c>
      <c r="G289">
        <v>1</v>
      </c>
      <c r="H289">
        <v>3</v>
      </c>
      <c r="I289" t="s">
        <v>717</v>
      </c>
      <c r="J289" t="s">
        <v>718</v>
      </c>
      <c r="K289" t="s">
        <v>719</v>
      </c>
      <c r="L289">
        <v>1346</v>
      </c>
      <c r="N289">
        <v>1009</v>
      </c>
      <c r="O289" t="s">
        <v>549</v>
      </c>
      <c r="P289" t="s">
        <v>549</v>
      </c>
      <c r="Q289">
        <v>1</v>
      </c>
      <c r="W289">
        <v>0</v>
      </c>
      <c r="X289">
        <v>4985900</v>
      </c>
      <c r="Y289">
        <f t="shared" si="96"/>
        <v>2.4</v>
      </c>
      <c r="AA289">
        <v>1121.22</v>
      </c>
      <c r="AB289">
        <v>0</v>
      </c>
      <c r="AC289">
        <v>0</v>
      </c>
      <c r="AD289">
        <v>0</v>
      </c>
      <c r="AE289">
        <v>911.56</v>
      </c>
      <c r="AF289">
        <v>0</v>
      </c>
      <c r="AG289">
        <v>0</v>
      </c>
      <c r="AH289">
        <v>0</v>
      </c>
      <c r="AI289">
        <v>1.23</v>
      </c>
      <c r="AJ289">
        <v>1</v>
      </c>
      <c r="AK289">
        <v>1</v>
      </c>
      <c r="AL289">
        <v>1</v>
      </c>
      <c r="AM289">
        <v>2</v>
      </c>
      <c r="AN289">
        <v>0</v>
      </c>
      <c r="AO289">
        <v>0</v>
      </c>
      <c r="AP289">
        <v>0</v>
      </c>
      <c r="AQ289">
        <v>1</v>
      </c>
      <c r="AR289">
        <v>0</v>
      </c>
      <c r="AS289" t="s">
        <v>3</v>
      </c>
      <c r="AT289">
        <v>2.4</v>
      </c>
      <c r="AU289" t="s">
        <v>3</v>
      </c>
      <c r="AV289">
        <v>0</v>
      </c>
      <c r="AW289">
        <v>2</v>
      </c>
      <c r="AX289">
        <v>65171804</v>
      </c>
      <c r="AY289">
        <v>1</v>
      </c>
      <c r="AZ289">
        <v>0</v>
      </c>
      <c r="BA289">
        <v>297</v>
      </c>
      <c r="BB289">
        <v>1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2187.7439999999997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1</v>
      </c>
      <c r="BQ289">
        <v>2187.7439999999997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1</v>
      </c>
      <c r="CV289">
        <v>0</v>
      </c>
      <c r="CW289">
        <v>0</v>
      </c>
      <c r="CX289">
        <f>ROUND(Y289*Source!I172,7)</f>
        <v>0.24</v>
      </c>
      <c r="CY289">
        <f>AA289</f>
        <v>1121.22</v>
      </c>
      <c r="CZ289">
        <f>AE289</f>
        <v>911.56</v>
      </c>
      <c r="DA289">
        <f>AI289</f>
        <v>1.23</v>
      </c>
      <c r="DB289">
        <f t="shared" si="97"/>
        <v>2187.7399999999998</v>
      </c>
      <c r="DC289">
        <f t="shared" si="98"/>
        <v>0</v>
      </c>
      <c r="DD289" t="s">
        <v>3</v>
      </c>
      <c r="DE289" t="s">
        <v>3</v>
      </c>
      <c r="DF289">
        <f>ROUND(ROUND(AE289*AI289,2)*CX289,2)</f>
        <v>269.08999999999997</v>
      </c>
      <c r="DG289">
        <f t="shared" si="103"/>
        <v>0</v>
      </c>
      <c r="DH289">
        <f t="shared" si="90"/>
        <v>0</v>
      </c>
      <c r="DI289">
        <f t="shared" si="100"/>
        <v>0</v>
      </c>
      <c r="DJ289">
        <f>DF289</f>
        <v>269.08999999999997</v>
      </c>
      <c r="DK289">
        <v>0</v>
      </c>
      <c r="DL289" t="s">
        <v>3</v>
      </c>
      <c r="DM289">
        <v>0</v>
      </c>
      <c r="DN289" t="s">
        <v>3</v>
      </c>
      <c r="DO289">
        <v>0</v>
      </c>
    </row>
    <row r="290" spans="1:119" x14ac:dyDescent="0.2">
      <c r="A290">
        <f>ROW(Source!A290)</f>
        <v>290</v>
      </c>
      <c r="B290">
        <v>65170852</v>
      </c>
      <c r="C290">
        <v>65171989</v>
      </c>
      <c r="D290">
        <v>56217421</v>
      </c>
      <c r="E290">
        <v>108</v>
      </c>
      <c r="F290">
        <v>1</v>
      </c>
      <c r="G290">
        <v>1</v>
      </c>
      <c r="H290">
        <v>1</v>
      </c>
      <c r="I290" t="s">
        <v>757</v>
      </c>
      <c r="J290" t="s">
        <v>3</v>
      </c>
      <c r="K290" t="s">
        <v>758</v>
      </c>
      <c r="L290">
        <v>1369</v>
      </c>
      <c r="N290">
        <v>1013</v>
      </c>
      <c r="O290" t="s">
        <v>699</v>
      </c>
      <c r="P290" t="s">
        <v>699</v>
      </c>
      <c r="Q290">
        <v>1</v>
      </c>
      <c r="W290">
        <v>0</v>
      </c>
      <c r="X290">
        <v>286205319</v>
      </c>
      <c r="Y290">
        <f t="shared" si="96"/>
        <v>0.81</v>
      </c>
      <c r="AA290">
        <v>0</v>
      </c>
      <c r="AB290">
        <v>0</v>
      </c>
      <c r="AC290">
        <v>0</v>
      </c>
      <c r="AD290">
        <v>658.94</v>
      </c>
      <c r="AE290">
        <v>0</v>
      </c>
      <c r="AF290">
        <v>0</v>
      </c>
      <c r="AG290">
        <v>0</v>
      </c>
      <c r="AH290">
        <v>658.94</v>
      </c>
      <c r="AI290">
        <v>1</v>
      </c>
      <c r="AJ290">
        <v>1</v>
      </c>
      <c r="AK290">
        <v>1</v>
      </c>
      <c r="AL290">
        <v>1</v>
      </c>
      <c r="AM290">
        <v>-2</v>
      </c>
      <c r="AN290">
        <v>0</v>
      </c>
      <c r="AO290">
        <v>0</v>
      </c>
      <c r="AP290">
        <v>0</v>
      </c>
      <c r="AQ290">
        <v>1</v>
      </c>
      <c r="AR290">
        <v>0</v>
      </c>
      <c r="AS290" t="s">
        <v>3</v>
      </c>
      <c r="AT290">
        <v>0.81</v>
      </c>
      <c r="AU290" t="s">
        <v>3</v>
      </c>
      <c r="AV290">
        <v>1</v>
      </c>
      <c r="AW290">
        <v>2</v>
      </c>
      <c r="AX290">
        <v>65171992</v>
      </c>
      <c r="AY290">
        <v>1</v>
      </c>
      <c r="AZ290">
        <v>0</v>
      </c>
      <c r="BA290">
        <v>299</v>
      </c>
      <c r="BB290">
        <v>1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533.74140000000011</v>
      </c>
      <c r="BN290">
        <v>0.81</v>
      </c>
      <c r="BO290">
        <v>0</v>
      </c>
      <c r="BP290">
        <v>1</v>
      </c>
      <c r="BQ290">
        <v>0</v>
      </c>
      <c r="BR290">
        <v>0</v>
      </c>
      <c r="BS290">
        <v>0</v>
      </c>
      <c r="BT290">
        <v>533.74140000000011</v>
      </c>
      <c r="BU290">
        <v>0.81</v>
      </c>
      <c r="BV290">
        <v>0</v>
      </c>
      <c r="BW290">
        <v>1</v>
      </c>
      <c r="CU290">
        <f>ROUND(AT290*Source!I290*AH290*AL290,2)</f>
        <v>1601.22</v>
      </c>
      <c r="CV290">
        <f>ROUND(Y290*Source!I290,7)</f>
        <v>2.4300000000000002</v>
      </c>
      <c r="CW290">
        <v>0</v>
      </c>
      <c r="CX290">
        <f>ROUND(Y290*Source!I290,7)</f>
        <v>2.4300000000000002</v>
      </c>
      <c r="CY290">
        <f t="shared" ref="CY290:CY325" si="104">AD290</f>
        <v>658.94</v>
      </c>
      <c r="CZ290">
        <f t="shared" ref="CZ290:CZ325" si="105">AH290</f>
        <v>658.94</v>
      </c>
      <c r="DA290">
        <f t="shared" ref="DA290:DA325" si="106">AL290</f>
        <v>1</v>
      </c>
      <c r="DB290">
        <f t="shared" si="97"/>
        <v>533.74</v>
      </c>
      <c r="DC290">
        <f t="shared" si="98"/>
        <v>0</v>
      </c>
      <c r="DD290" t="s">
        <v>3</v>
      </c>
      <c r="DE290" t="s">
        <v>3</v>
      </c>
      <c r="DF290">
        <f t="shared" ref="DF290:DF325" si="107">ROUND(ROUND(AE290,2)*CX290,2)</f>
        <v>0</v>
      </c>
      <c r="DG290">
        <f t="shared" si="103"/>
        <v>0</v>
      </c>
      <c r="DH290">
        <f t="shared" si="90"/>
        <v>0</v>
      </c>
      <c r="DI290">
        <f t="shared" si="100"/>
        <v>1601.22</v>
      </c>
      <c r="DJ290">
        <f t="shared" ref="DJ290:DJ325" si="108">DI290</f>
        <v>1601.22</v>
      </c>
      <c r="DK290">
        <v>1</v>
      </c>
      <c r="DL290" t="s">
        <v>3</v>
      </c>
      <c r="DM290">
        <v>0</v>
      </c>
      <c r="DN290" t="s">
        <v>3</v>
      </c>
      <c r="DO290">
        <v>0</v>
      </c>
    </row>
    <row r="291" spans="1:119" x14ac:dyDescent="0.2">
      <c r="A291">
        <f>ROW(Source!A290)</f>
        <v>290</v>
      </c>
      <c r="B291">
        <v>65170852</v>
      </c>
      <c r="C291">
        <v>65171989</v>
      </c>
      <c r="D291">
        <v>56217452</v>
      </c>
      <c r="E291">
        <v>108</v>
      </c>
      <c r="F291">
        <v>1</v>
      </c>
      <c r="G291">
        <v>1</v>
      </c>
      <c r="H291">
        <v>1</v>
      </c>
      <c r="I291" t="s">
        <v>759</v>
      </c>
      <c r="J291" t="s">
        <v>3</v>
      </c>
      <c r="K291" t="s">
        <v>760</v>
      </c>
      <c r="L291">
        <v>1369</v>
      </c>
      <c r="N291">
        <v>1013</v>
      </c>
      <c r="O291" t="s">
        <v>699</v>
      </c>
      <c r="P291" t="s">
        <v>699</v>
      </c>
      <c r="Q291">
        <v>1</v>
      </c>
      <c r="W291">
        <v>0</v>
      </c>
      <c r="X291">
        <v>126826561</v>
      </c>
      <c r="Y291">
        <f t="shared" si="96"/>
        <v>0.81</v>
      </c>
      <c r="AA291">
        <v>0</v>
      </c>
      <c r="AB291">
        <v>0</v>
      </c>
      <c r="AC291">
        <v>0</v>
      </c>
      <c r="AD291">
        <v>644.29999999999995</v>
      </c>
      <c r="AE291">
        <v>0</v>
      </c>
      <c r="AF291">
        <v>0</v>
      </c>
      <c r="AG291">
        <v>0</v>
      </c>
      <c r="AH291">
        <v>644.29999999999995</v>
      </c>
      <c r="AI291">
        <v>1</v>
      </c>
      <c r="AJ291">
        <v>1</v>
      </c>
      <c r="AK291">
        <v>1</v>
      </c>
      <c r="AL291">
        <v>1</v>
      </c>
      <c r="AM291">
        <v>-2</v>
      </c>
      <c r="AN291">
        <v>0</v>
      </c>
      <c r="AO291">
        <v>0</v>
      </c>
      <c r="AP291">
        <v>0</v>
      </c>
      <c r="AQ291">
        <v>1</v>
      </c>
      <c r="AR291">
        <v>0</v>
      </c>
      <c r="AS291" t="s">
        <v>3</v>
      </c>
      <c r="AT291">
        <v>0.81</v>
      </c>
      <c r="AU291" t="s">
        <v>3</v>
      </c>
      <c r="AV291">
        <v>1</v>
      </c>
      <c r="AW291">
        <v>2</v>
      </c>
      <c r="AX291">
        <v>65171993</v>
      </c>
      <c r="AY291">
        <v>1</v>
      </c>
      <c r="AZ291">
        <v>0</v>
      </c>
      <c r="BA291">
        <v>300</v>
      </c>
      <c r="BB291">
        <v>1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521.88300000000004</v>
      </c>
      <c r="BN291">
        <v>0.81</v>
      </c>
      <c r="BO291">
        <v>0</v>
      </c>
      <c r="BP291">
        <v>1</v>
      </c>
      <c r="BQ291">
        <v>0</v>
      </c>
      <c r="BR291">
        <v>0</v>
      </c>
      <c r="BS291">
        <v>0</v>
      </c>
      <c r="BT291">
        <v>521.88300000000004</v>
      </c>
      <c r="BU291">
        <v>0.81</v>
      </c>
      <c r="BV291">
        <v>0</v>
      </c>
      <c r="BW291">
        <v>1</v>
      </c>
      <c r="CU291">
        <f>ROUND(AT291*Source!I290*AH291*AL291,2)</f>
        <v>1565.65</v>
      </c>
      <c r="CV291">
        <f>ROUND(Y291*Source!I290,7)</f>
        <v>2.4300000000000002</v>
      </c>
      <c r="CW291">
        <v>0</v>
      </c>
      <c r="CX291">
        <f>ROUND(Y291*Source!I290,7)</f>
        <v>2.4300000000000002</v>
      </c>
      <c r="CY291">
        <f t="shared" si="104"/>
        <v>644.29999999999995</v>
      </c>
      <c r="CZ291">
        <f t="shared" si="105"/>
        <v>644.29999999999995</v>
      </c>
      <c r="DA291">
        <f t="shared" si="106"/>
        <v>1</v>
      </c>
      <c r="DB291">
        <f t="shared" si="97"/>
        <v>521.88</v>
      </c>
      <c r="DC291">
        <f t="shared" si="98"/>
        <v>0</v>
      </c>
      <c r="DD291" t="s">
        <v>3</v>
      </c>
      <c r="DE291" t="s">
        <v>3</v>
      </c>
      <c r="DF291">
        <f t="shared" si="107"/>
        <v>0</v>
      </c>
      <c r="DG291">
        <f t="shared" si="103"/>
        <v>0</v>
      </c>
      <c r="DH291">
        <f t="shared" si="90"/>
        <v>0</v>
      </c>
      <c r="DI291">
        <f t="shared" si="100"/>
        <v>1565.65</v>
      </c>
      <c r="DJ291">
        <f t="shared" si="108"/>
        <v>1565.65</v>
      </c>
      <c r="DK291">
        <v>1</v>
      </c>
      <c r="DL291" t="s">
        <v>3</v>
      </c>
      <c r="DM291">
        <v>0</v>
      </c>
      <c r="DN291" t="s">
        <v>3</v>
      </c>
      <c r="DO291">
        <v>0</v>
      </c>
    </row>
    <row r="292" spans="1:119" x14ac:dyDescent="0.2">
      <c r="A292">
        <f>ROW(Source!A291)</f>
        <v>291</v>
      </c>
      <c r="B292">
        <v>65170852</v>
      </c>
      <c r="C292">
        <v>65171994</v>
      </c>
      <c r="D292">
        <v>56217437</v>
      </c>
      <c r="E292">
        <v>108</v>
      </c>
      <c r="F292">
        <v>1</v>
      </c>
      <c r="G292">
        <v>1</v>
      </c>
      <c r="H292">
        <v>1</v>
      </c>
      <c r="I292" t="s">
        <v>761</v>
      </c>
      <c r="J292" t="s">
        <v>3</v>
      </c>
      <c r="K292" t="s">
        <v>762</v>
      </c>
      <c r="L292">
        <v>1369</v>
      </c>
      <c r="N292">
        <v>1013</v>
      </c>
      <c r="O292" t="s">
        <v>699</v>
      </c>
      <c r="P292" t="s">
        <v>699</v>
      </c>
      <c r="Q292">
        <v>1</v>
      </c>
      <c r="W292">
        <v>0</v>
      </c>
      <c r="X292">
        <v>-1275334932</v>
      </c>
      <c r="Y292">
        <f t="shared" si="96"/>
        <v>4.32</v>
      </c>
      <c r="AA292">
        <v>0</v>
      </c>
      <c r="AB292">
        <v>0</v>
      </c>
      <c r="AC292">
        <v>0</v>
      </c>
      <c r="AD292">
        <v>468.58</v>
      </c>
      <c r="AE292">
        <v>0</v>
      </c>
      <c r="AF292">
        <v>0</v>
      </c>
      <c r="AG292">
        <v>0</v>
      </c>
      <c r="AH292">
        <v>468.58</v>
      </c>
      <c r="AI292">
        <v>1</v>
      </c>
      <c r="AJ292">
        <v>1</v>
      </c>
      <c r="AK292">
        <v>1</v>
      </c>
      <c r="AL292">
        <v>1</v>
      </c>
      <c r="AM292">
        <v>-2</v>
      </c>
      <c r="AN292">
        <v>0</v>
      </c>
      <c r="AO292">
        <v>0</v>
      </c>
      <c r="AP292">
        <v>0</v>
      </c>
      <c r="AQ292">
        <v>1</v>
      </c>
      <c r="AR292">
        <v>0</v>
      </c>
      <c r="AS292" t="s">
        <v>3</v>
      </c>
      <c r="AT292">
        <v>4.32</v>
      </c>
      <c r="AU292" t="s">
        <v>3</v>
      </c>
      <c r="AV292">
        <v>1</v>
      </c>
      <c r="AW292">
        <v>2</v>
      </c>
      <c r="AX292">
        <v>65171997</v>
      </c>
      <c r="AY292">
        <v>1</v>
      </c>
      <c r="AZ292">
        <v>0</v>
      </c>
      <c r="BA292">
        <v>301</v>
      </c>
      <c r="BB292">
        <v>1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2024.2656000000002</v>
      </c>
      <c r="BN292">
        <v>4.32</v>
      </c>
      <c r="BO292">
        <v>0</v>
      </c>
      <c r="BP292">
        <v>1</v>
      </c>
      <c r="BQ292">
        <v>0</v>
      </c>
      <c r="BR292">
        <v>0</v>
      </c>
      <c r="BS292">
        <v>0</v>
      </c>
      <c r="BT292">
        <v>2024.2656000000002</v>
      </c>
      <c r="BU292">
        <v>4.32</v>
      </c>
      <c r="BV292">
        <v>0</v>
      </c>
      <c r="BW292">
        <v>1</v>
      </c>
      <c r="CU292">
        <f>ROUND(AT292*Source!I291*AH292*AL292,2)</f>
        <v>2024.27</v>
      </c>
      <c r="CV292">
        <f>ROUND(Y292*Source!I291,7)</f>
        <v>4.32</v>
      </c>
      <c r="CW292">
        <v>0</v>
      </c>
      <c r="CX292">
        <f>ROUND(Y292*Source!I291,7)</f>
        <v>4.32</v>
      </c>
      <c r="CY292">
        <f t="shared" si="104"/>
        <v>468.58</v>
      </c>
      <c r="CZ292">
        <f t="shared" si="105"/>
        <v>468.58</v>
      </c>
      <c r="DA292">
        <f t="shared" si="106"/>
        <v>1</v>
      </c>
      <c r="DB292">
        <f t="shared" si="97"/>
        <v>2024.27</v>
      </c>
      <c r="DC292">
        <f t="shared" si="98"/>
        <v>0</v>
      </c>
      <c r="DD292" t="s">
        <v>3</v>
      </c>
      <c r="DE292" t="s">
        <v>3</v>
      </c>
      <c r="DF292">
        <f t="shared" si="107"/>
        <v>0</v>
      </c>
      <c r="DG292">
        <f t="shared" si="103"/>
        <v>0</v>
      </c>
      <c r="DH292">
        <f t="shared" si="90"/>
        <v>0</v>
      </c>
      <c r="DI292">
        <f t="shared" si="100"/>
        <v>2024.27</v>
      </c>
      <c r="DJ292">
        <f t="shared" si="108"/>
        <v>2024.27</v>
      </c>
      <c r="DK292">
        <v>1</v>
      </c>
      <c r="DL292" t="s">
        <v>3</v>
      </c>
      <c r="DM292">
        <v>0</v>
      </c>
      <c r="DN292" t="s">
        <v>3</v>
      </c>
      <c r="DO292">
        <v>0</v>
      </c>
    </row>
    <row r="293" spans="1:119" x14ac:dyDescent="0.2">
      <c r="A293">
        <f>ROW(Source!A291)</f>
        <v>291</v>
      </c>
      <c r="B293">
        <v>65170852</v>
      </c>
      <c r="C293">
        <v>65171994</v>
      </c>
      <c r="D293">
        <v>56217445</v>
      </c>
      <c r="E293">
        <v>108</v>
      </c>
      <c r="F293">
        <v>1</v>
      </c>
      <c r="G293">
        <v>1</v>
      </c>
      <c r="H293">
        <v>1</v>
      </c>
      <c r="I293" t="s">
        <v>763</v>
      </c>
      <c r="J293" t="s">
        <v>3</v>
      </c>
      <c r="K293" t="s">
        <v>764</v>
      </c>
      <c r="L293">
        <v>1369</v>
      </c>
      <c r="N293">
        <v>1013</v>
      </c>
      <c r="O293" t="s">
        <v>699</v>
      </c>
      <c r="P293" t="s">
        <v>699</v>
      </c>
      <c r="Q293">
        <v>1</v>
      </c>
      <c r="W293">
        <v>0</v>
      </c>
      <c r="X293">
        <v>-66267284</v>
      </c>
      <c r="Y293">
        <f t="shared" ref="Y293:Y325" si="109">AT293</f>
        <v>6.48</v>
      </c>
      <c r="AA293">
        <v>0</v>
      </c>
      <c r="AB293">
        <v>0</v>
      </c>
      <c r="AC293">
        <v>0</v>
      </c>
      <c r="AD293">
        <v>787.07</v>
      </c>
      <c r="AE293">
        <v>0</v>
      </c>
      <c r="AF293">
        <v>0</v>
      </c>
      <c r="AG293">
        <v>0</v>
      </c>
      <c r="AH293">
        <v>787.07</v>
      </c>
      <c r="AI293">
        <v>1</v>
      </c>
      <c r="AJ293">
        <v>1</v>
      </c>
      <c r="AK293">
        <v>1</v>
      </c>
      <c r="AL293">
        <v>1</v>
      </c>
      <c r="AM293">
        <v>-2</v>
      </c>
      <c r="AN293">
        <v>0</v>
      </c>
      <c r="AO293">
        <v>0</v>
      </c>
      <c r="AP293">
        <v>0</v>
      </c>
      <c r="AQ293">
        <v>1</v>
      </c>
      <c r="AR293">
        <v>0</v>
      </c>
      <c r="AS293" t="s">
        <v>3</v>
      </c>
      <c r="AT293">
        <v>6.48</v>
      </c>
      <c r="AU293" t="s">
        <v>3</v>
      </c>
      <c r="AV293">
        <v>1</v>
      </c>
      <c r="AW293">
        <v>2</v>
      </c>
      <c r="AX293">
        <v>65171998</v>
      </c>
      <c r="AY293">
        <v>1</v>
      </c>
      <c r="AZ293">
        <v>0</v>
      </c>
      <c r="BA293">
        <v>302</v>
      </c>
      <c r="BB293">
        <v>1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5100.213600000001</v>
      </c>
      <c r="BN293">
        <v>6.48</v>
      </c>
      <c r="BO293">
        <v>0</v>
      </c>
      <c r="BP293">
        <v>1</v>
      </c>
      <c r="BQ293">
        <v>0</v>
      </c>
      <c r="BR293">
        <v>0</v>
      </c>
      <c r="BS293">
        <v>0</v>
      </c>
      <c r="BT293">
        <v>5100.213600000001</v>
      </c>
      <c r="BU293">
        <v>6.48</v>
      </c>
      <c r="BV293">
        <v>0</v>
      </c>
      <c r="BW293">
        <v>1</v>
      </c>
      <c r="CU293">
        <f>ROUND(AT293*Source!I291*AH293*AL293,2)</f>
        <v>5100.21</v>
      </c>
      <c r="CV293">
        <f>ROUND(Y293*Source!I291,7)</f>
        <v>6.48</v>
      </c>
      <c r="CW293">
        <v>0</v>
      </c>
      <c r="CX293">
        <f>ROUND(Y293*Source!I291,7)</f>
        <v>6.48</v>
      </c>
      <c r="CY293">
        <f t="shared" si="104"/>
        <v>787.07</v>
      </c>
      <c r="CZ293">
        <f t="shared" si="105"/>
        <v>787.07</v>
      </c>
      <c r="DA293">
        <f t="shared" si="106"/>
        <v>1</v>
      </c>
      <c r="DB293">
        <f t="shared" ref="DB293:DB325" si="110">ROUND(ROUND(AT293*CZ293,2),6)</f>
        <v>5100.21</v>
      </c>
      <c r="DC293">
        <f t="shared" ref="DC293:DC325" si="111">ROUND(ROUND(AT293*AG293,2),6)</f>
        <v>0</v>
      </c>
      <c r="DD293" t="s">
        <v>3</v>
      </c>
      <c r="DE293" t="s">
        <v>3</v>
      </c>
      <c r="DF293">
        <f t="shared" si="107"/>
        <v>0</v>
      </c>
      <c r="DG293">
        <f t="shared" si="103"/>
        <v>0</v>
      </c>
      <c r="DH293">
        <f t="shared" si="90"/>
        <v>0</v>
      </c>
      <c r="DI293">
        <f t="shared" si="100"/>
        <v>5100.21</v>
      </c>
      <c r="DJ293">
        <f t="shared" si="108"/>
        <v>5100.21</v>
      </c>
      <c r="DK293">
        <v>1</v>
      </c>
      <c r="DL293" t="s">
        <v>3</v>
      </c>
      <c r="DM293">
        <v>0</v>
      </c>
      <c r="DN293" t="s">
        <v>3</v>
      </c>
      <c r="DO293">
        <v>0</v>
      </c>
    </row>
    <row r="294" spans="1:119" x14ac:dyDescent="0.2">
      <c r="A294">
        <f>ROW(Source!A292)</f>
        <v>292</v>
      </c>
      <c r="B294">
        <v>65170852</v>
      </c>
      <c r="C294">
        <v>65171999</v>
      </c>
      <c r="D294">
        <v>56217421</v>
      </c>
      <c r="E294">
        <v>108</v>
      </c>
      <c r="F294">
        <v>1</v>
      </c>
      <c r="G294">
        <v>1</v>
      </c>
      <c r="H294">
        <v>1</v>
      </c>
      <c r="I294" t="s">
        <v>757</v>
      </c>
      <c r="J294" t="s">
        <v>3</v>
      </c>
      <c r="K294" t="s">
        <v>758</v>
      </c>
      <c r="L294">
        <v>1369</v>
      </c>
      <c r="N294">
        <v>1013</v>
      </c>
      <c r="O294" t="s">
        <v>699</v>
      </c>
      <c r="P294" t="s">
        <v>699</v>
      </c>
      <c r="Q294">
        <v>1</v>
      </c>
      <c r="W294">
        <v>0</v>
      </c>
      <c r="X294">
        <v>286205319</v>
      </c>
      <c r="Y294">
        <f t="shared" si="109"/>
        <v>0.81</v>
      </c>
      <c r="AA294">
        <v>0</v>
      </c>
      <c r="AB294">
        <v>0</v>
      </c>
      <c r="AC294">
        <v>0</v>
      </c>
      <c r="AD294">
        <v>658.94</v>
      </c>
      <c r="AE294">
        <v>0</v>
      </c>
      <c r="AF294">
        <v>0</v>
      </c>
      <c r="AG294">
        <v>0</v>
      </c>
      <c r="AH294">
        <v>658.94</v>
      </c>
      <c r="AI294">
        <v>1</v>
      </c>
      <c r="AJ294">
        <v>1</v>
      </c>
      <c r="AK294">
        <v>1</v>
      </c>
      <c r="AL294">
        <v>1</v>
      </c>
      <c r="AM294">
        <v>-2</v>
      </c>
      <c r="AN294">
        <v>0</v>
      </c>
      <c r="AO294">
        <v>0</v>
      </c>
      <c r="AP294">
        <v>0</v>
      </c>
      <c r="AQ294">
        <v>1</v>
      </c>
      <c r="AR294">
        <v>0</v>
      </c>
      <c r="AS294" t="s">
        <v>3</v>
      </c>
      <c r="AT294">
        <v>0.81</v>
      </c>
      <c r="AU294" t="s">
        <v>3</v>
      </c>
      <c r="AV294">
        <v>1</v>
      </c>
      <c r="AW294">
        <v>2</v>
      </c>
      <c r="AX294">
        <v>65172002</v>
      </c>
      <c r="AY294">
        <v>1</v>
      </c>
      <c r="AZ294">
        <v>0</v>
      </c>
      <c r="BA294">
        <v>303</v>
      </c>
      <c r="BB294">
        <v>1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533.74140000000011</v>
      </c>
      <c r="BN294">
        <v>0.81</v>
      </c>
      <c r="BO294">
        <v>0</v>
      </c>
      <c r="BP294">
        <v>1</v>
      </c>
      <c r="BQ294">
        <v>0</v>
      </c>
      <c r="BR294">
        <v>0</v>
      </c>
      <c r="BS294">
        <v>0</v>
      </c>
      <c r="BT294">
        <v>533.74140000000011</v>
      </c>
      <c r="BU294">
        <v>0.81</v>
      </c>
      <c r="BV294">
        <v>0</v>
      </c>
      <c r="BW294">
        <v>1</v>
      </c>
      <c r="CU294">
        <f>ROUND(AT294*Source!I292*AH294*AL294,2)</f>
        <v>1067.48</v>
      </c>
      <c r="CV294">
        <f>ROUND(Y294*Source!I292,7)</f>
        <v>1.62</v>
      </c>
      <c r="CW294">
        <v>0</v>
      </c>
      <c r="CX294">
        <f>ROUND(Y294*Source!I292,7)</f>
        <v>1.62</v>
      </c>
      <c r="CY294">
        <f t="shared" si="104"/>
        <v>658.94</v>
      </c>
      <c r="CZ294">
        <f t="shared" si="105"/>
        <v>658.94</v>
      </c>
      <c r="DA294">
        <f t="shared" si="106"/>
        <v>1</v>
      </c>
      <c r="DB294">
        <f t="shared" si="110"/>
        <v>533.74</v>
      </c>
      <c r="DC294">
        <f t="shared" si="111"/>
        <v>0</v>
      </c>
      <c r="DD294" t="s">
        <v>3</v>
      </c>
      <c r="DE294" t="s">
        <v>3</v>
      </c>
      <c r="DF294">
        <f t="shared" si="107"/>
        <v>0</v>
      </c>
      <c r="DG294">
        <f t="shared" si="103"/>
        <v>0</v>
      </c>
      <c r="DH294">
        <f t="shared" si="90"/>
        <v>0</v>
      </c>
      <c r="DI294">
        <f t="shared" si="100"/>
        <v>1067.48</v>
      </c>
      <c r="DJ294">
        <f t="shared" si="108"/>
        <v>1067.48</v>
      </c>
      <c r="DK294">
        <v>1</v>
      </c>
      <c r="DL294" t="s">
        <v>3</v>
      </c>
      <c r="DM294">
        <v>0</v>
      </c>
      <c r="DN294" t="s">
        <v>3</v>
      </c>
      <c r="DO294">
        <v>0</v>
      </c>
    </row>
    <row r="295" spans="1:119" x14ac:dyDescent="0.2">
      <c r="A295">
        <f>ROW(Source!A292)</f>
        <v>292</v>
      </c>
      <c r="B295">
        <v>65170852</v>
      </c>
      <c r="C295">
        <v>65171999</v>
      </c>
      <c r="D295">
        <v>56217452</v>
      </c>
      <c r="E295">
        <v>108</v>
      </c>
      <c r="F295">
        <v>1</v>
      </c>
      <c r="G295">
        <v>1</v>
      </c>
      <c r="H295">
        <v>1</v>
      </c>
      <c r="I295" t="s">
        <v>759</v>
      </c>
      <c r="J295" t="s">
        <v>3</v>
      </c>
      <c r="K295" t="s">
        <v>760</v>
      </c>
      <c r="L295">
        <v>1369</v>
      </c>
      <c r="N295">
        <v>1013</v>
      </c>
      <c r="O295" t="s">
        <v>699</v>
      </c>
      <c r="P295" t="s">
        <v>699</v>
      </c>
      <c r="Q295">
        <v>1</v>
      </c>
      <c r="W295">
        <v>0</v>
      </c>
      <c r="X295">
        <v>126826561</v>
      </c>
      <c r="Y295">
        <f t="shared" si="109"/>
        <v>0.81</v>
      </c>
      <c r="AA295">
        <v>0</v>
      </c>
      <c r="AB295">
        <v>0</v>
      </c>
      <c r="AC295">
        <v>0</v>
      </c>
      <c r="AD295">
        <v>644.29999999999995</v>
      </c>
      <c r="AE295">
        <v>0</v>
      </c>
      <c r="AF295">
        <v>0</v>
      </c>
      <c r="AG295">
        <v>0</v>
      </c>
      <c r="AH295">
        <v>644.29999999999995</v>
      </c>
      <c r="AI295">
        <v>1</v>
      </c>
      <c r="AJ295">
        <v>1</v>
      </c>
      <c r="AK295">
        <v>1</v>
      </c>
      <c r="AL295">
        <v>1</v>
      </c>
      <c r="AM295">
        <v>-2</v>
      </c>
      <c r="AN295">
        <v>0</v>
      </c>
      <c r="AO295">
        <v>0</v>
      </c>
      <c r="AP295">
        <v>0</v>
      </c>
      <c r="AQ295">
        <v>1</v>
      </c>
      <c r="AR295">
        <v>0</v>
      </c>
      <c r="AS295" t="s">
        <v>3</v>
      </c>
      <c r="AT295">
        <v>0.81</v>
      </c>
      <c r="AU295" t="s">
        <v>3</v>
      </c>
      <c r="AV295">
        <v>1</v>
      </c>
      <c r="AW295">
        <v>2</v>
      </c>
      <c r="AX295">
        <v>65172003</v>
      </c>
      <c r="AY295">
        <v>1</v>
      </c>
      <c r="AZ295">
        <v>0</v>
      </c>
      <c r="BA295">
        <v>304</v>
      </c>
      <c r="BB295">
        <v>1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521.88300000000004</v>
      </c>
      <c r="BN295">
        <v>0.81</v>
      </c>
      <c r="BO295">
        <v>0</v>
      </c>
      <c r="BP295">
        <v>1</v>
      </c>
      <c r="BQ295">
        <v>0</v>
      </c>
      <c r="BR295">
        <v>0</v>
      </c>
      <c r="BS295">
        <v>0</v>
      </c>
      <c r="BT295">
        <v>521.88300000000004</v>
      </c>
      <c r="BU295">
        <v>0.81</v>
      </c>
      <c r="BV295">
        <v>0</v>
      </c>
      <c r="BW295">
        <v>1</v>
      </c>
      <c r="CU295">
        <f>ROUND(AT295*Source!I292*AH295*AL295,2)</f>
        <v>1043.77</v>
      </c>
      <c r="CV295">
        <f>ROUND(Y295*Source!I292,7)</f>
        <v>1.62</v>
      </c>
      <c r="CW295">
        <v>0</v>
      </c>
      <c r="CX295">
        <f>ROUND(Y295*Source!I292,7)</f>
        <v>1.62</v>
      </c>
      <c r="CY295">
        <f t="shared" si="104"/>
        <v>644.29999999999995</v>
      </c>
      <c r="CZ295">
        <f t="shared" si="105"/>
        <v>644.29999999999995</v>
      </c>
      <c r="DA295">
        <f t="shared" si="106"/>
        <v>1</v>
      </c>
      <c r="DB295">
        <f t="shared" si="110"/>
        <v>521.88</v>
      </c>
      <c r="DC295">
        <f t="shared" si="111"/>
        <v>0</v>
      </c>
      <c r="DD295" t="s">
        <v>3</v>
      </c>
      <c r="DE295" t="s">
        <v>3</v>
      </c>
      <c r="DF295">
        <f t="shared" si="107"/>
        <v>0</v>
      </c>
      <c r="DG295">
        <f t="shared" si="103"/>
        <v>0</v>
      </c>
      <c r="DH295">
        <f t="shared" si="90"/>
        <v>0</v>
      </c>
      <c r="DI295">
        <f t="shared" si="100"/>
        <v>1043.77</v>
      </c>
      <c r="DJ295">
        <f t="shared" si="108"/>
        <v>1043.77</v>
      </c>
      <c r="DK295">
        <v>1</v>
      </c>
      <c r="DL295" t="s">
        <v>3</v>
      </c>
      <c r="DM295">
        <v>0</v>
      </c>
      <c r="DN295" t="s">
        <v>3</v>
      </c>
      <c r="DO295">
        <v>0</v>
      </c>
    </row>
    <row r="296" spans="1:119" x14ac:dyDescent="0.2">
      <c r="A296">
        <f>ROW(Source!A293)</f>
        <v>293</v>
      </c>
      <c r="B296">
        <v>65170852</v>
      </c>
      <c r="C296">
        <v>65172004</v>
      </c>
      <c r="D296">
        <v>56217418</v>
      </c>
      <c r="E296">
        <v>108</v>
      </c>
      <c r="F296">
        <v>1</v>
      </c>
      <c r="G296">
        <v>1</v>
      </c>
      <c r="H296">
        <v>1</v>
      </c>
      <c r="I296" t="s">
        <v>704</v>
      </c>
      <c r="J296" t="s">
        <v>3</v>
      </c>
      <c r="K296" t="s">
        <v>705</v>
      </c>
      <c r="L296">
        <v>1369</v>
      </c>
      <c r="N296">
        <v>1013</v>
      </c>
      <c r="O296" t="s">
        <v>699</v>
      </c>
      <c r="P296" t="s">
        <v>699</v>
      </c>
      <c r="Q296">
        <v>1</v>
      </c>
      <c r="W296">
        <v>0</v>
      </c>
      <c r="X296">
        <v>1518711480</v>
      </c>
      <c r="Y296">
        <f t="shared" si="109"/>
        <v>0.97</v>
      </c>
      <c r="AA296">
        <v>0</v>
      </c>
      <c r="AB296">
        <v>0</v>
      </c>
      <c r="AC296">
        <v>0</v>
      </c>
      <c r="AD296">
        <v>563.76</v>
      </c>
      <c r="AE296">
        <v>0</v>
      </c>
      <c r="AF296">
        <v>0</v>
      </c>
      <c r="AG296">
        <v>0</v>
      </c>
      <c r="AH296">
        <v>563.76</v>
      </c>
      <c r="AI296">
        <v>1</v>
      </c>
      <c r="AJ296">
        <v>1</v>
      </c>
      <c r="AK296">
        <v>1</v>
      </c>
      <c r="AL296">
        <v>1</v>
      </c>
      <c r="AM296">
        <v>-2</v>
      </c>
      <c r="AN296">
        <v>0</v>
      </c>
      <c r="AO296">
        <v>0</v>
      </c>
      <c r="AP296">
        <v>0</v>
      </c>
      <c r="AQ296">
        <v>1</v>
      </c>
      <c r="AR296">
        <v>0</v>
      </c>
      <c r="AS296" t="s">
        <v>3</v>
      </c>
      <c r="AT296">
        <v>0.97</v>
      </c>
      <c r="AU296" t="s">
        <v>3</v>
      </c>
      <c r="AV296">
        <v>1</v>
      </c>
      <c r="AW296">
        <v>2</v>
      </c>
      <c r="AX296">
        <v>65172007</v>
      </c>
      <c r="AY296">
        <v>1</v>
      </c>
      <c r="AZ296">
        <v>0</v>
      </c>
      <c r="BA296">
        <v>305</v>
      </c>
      <c r="BB296">
        <v>1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546.84719999999993</v>
      </c>
      <c r="BN296">
        <v>0.97</v>
      </c>
      <c r="BO296">
        <v>0</v>
      </c>
      <c r="BP296">
        <v>1</v>
      </c>
      <c r="BQ296">
        <v>0</v>
      </c>
      <c r="BR296">
        <v>0</v>
      </c>
      <c r="BS296">
        <v>0</v>
      </c>
      <c r="BT296">
        <v>546.84719999999993</v>
      </c>
      <c r="BU296">
        <v>0.97</v>
      </c>
      <c r="BV296">
        <v>0</v>
      </c>
      <c r="BW296">
        <v>1</v>
      </c>
      <c r="CU296">
        <f>ROUND(AT296*Source!I293*AH296*AL296,2)</f>
        <v>1093.69</v>
      </c>
      <c r="CV296">
        <f>ROUND(Y296*Source!I293,7)</f>
        <v>1.94</v>
      </c>
      <c r="CW296">
        <v>0</v>
      </c>
      <c r="CX296">
        <f>ROUND(Y296*Source!I293,7)</f>
        <v>1.94</v>
      </c>
      <c r="CY296">
        <f t="shared" si="104"/>
        <v>563.76</v>
      </c>
      <c r="CZ296">
        <f t="shared" si="105"/>
        <v>563.76</v>
      </c>
      <c r="DA296">
        <f t="shared" si="106"/>
        <v>1</v>
      </c>
      <c r="DB296">
        <f t="shared" si="110"/>
        <v>546.85</v>
      </c>
      <c r="DC296">
        <f t="shared" si="111"/>
        <v>0</v>
      </c>
      <c r="DD296" t="s">
        <v>3</v>
      </c>
      <c r="DE296" t="s">
        <v>3</v>
      </c>
      <c r="DF296">
        <f t="shared" si="107"/>
        <v>0</v>
      </c>
      <c r="DG296">
        <f t="shared" si="103"/>
        <v>0</v>
      </c>
      <c r="DH296">
        <f t="shared" si="90"/>
        <v>0</v>
      </c>
      <c r="DI296">
        <f t="shared" si="100"/>
        <v>1093.69</v>
      </c>
      <c r="DJ296">
        <f t="shared" si="108"/>
        <v>1093.69</v>
      </c>
      <c r="DK296">
        <v>1</v>
      </c>
      <c r="DL296" t="s">
        <v>3</v>
      </c>
      <c r="DM296">
        <v>0</v>
      </c>
      <c r="DN296" t="s">
        <v>3</v>
      </c>
      <c r="DO296">
        <v>0</v>
      </c>
    </row>
    <row r="297" spans="1:119" x14ac:dyDescent="0.2">
      <c r="A297">
        <f>ROW(Source!A293)</f>
        <v>293</v>
      </c>
      <c r="B297">
        <v>65170852</v>
      </c>
      <c r="C297">
        <v>65172004</v>
      </c>
      <c r="D297">
        <v>56217448</v>
      </c>
      <c r="E297">
        <v>108</v>
      </c>
      <c r="F297">
        <v>1</v>
      </c>
      <c r="G297">
        <v>1</v>
      </c>
      <c r="H297">
        <v>1</v>
      </c>
      <c r="I297" t="s">
        <v>765</v>
      </c>
      <c r="J297" t="s">
        <v>3</v>
      </c>
      <c r="K297" t="s">
        <v>766</v>
      </c>
      <c r="L297">
        <v>1369</v>
      </c>
      <c r="N297">
        <v>1013</v>
      </c>
      <c r="O297" t="s">
        <v>699</v>
      </c>
      <c r="P297" t="s">
        <v>699</v>
      </c>
      <c r="Q297">
        <v>1</v>
      </c>
      <c r="W297">
        <v>0</v>
      </c>
      <c r="X297">
        <v>-2140504649</v>
      </c>
      <c r="Y297">
        <f t="shared" si="109"/>
        <v>1.46</v>
      </c>
      <c r="AA297">
        <v>0</v>
      </c>
      <c r="AB297">
        <v>0</v>
      </c>
      <c r="AC297">
        <v>0</v>
      </c>
      <c r="AD297">
        <v>717.52</v>
      </c>
      <c r="AE297">
        <v>0</v>
      </c>
      <c r="AF297">
        <v>0</v>
      </c>
      <c r="AG297">
        <v>0</v>
      </c>
      <c r="AH297">
        <v>717.52</v>
      </c>
      <c r="AI297">
        <v>1</v>
      </c>
      <c r="AJ297">
        <v>1</v>
      </c>
      <c r="AK297">
        <v>1</v>
      </c>
      <c r="AL297">
        <v>1</v>
      </c>
      <c r="AM297">
        <v>-2</v>
      </c>
      <c r="AN297">
        <v>0</v>
      </c>
      <c r="AO297">
        <v>0</v>
      </c>
      <c r="AP297">
        <v>0</v>
      </c>
      <c r="AQ297">
        <v>1</v>
      </c>
      <c r="AR297">
        <v>0</v>
      </c>
      <c r="AS297" t="s">
        <v>3</v>
      </c>
      <c r="AT297">
        <v>1.46</v>
      </c>
      <c r="AU297" t="s">
        <v>3</v>
      </c>
      <c r="AV297">
        <v>1</v>
      </c>
      <c r="AW297">
        <v>2</v>
      </c>
      <c r="AX297">
        <v>65172008</v>
      </c>
      <c r="AY297">
        <v>1</v>
      </c>
      <c r="AZ297">
        <v>0</v>
      </c>
      <c r="BA297">
        <v>306</v>
      </c>
      <c r="BB297">
        <v>1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1047.5791999999999</v>
      </c>
      <c r="BN297">
        <v>1.46</v>
      </c>
      <c r="BO297">
        <v>0</v>
      </c>
      <c r="BP297">
        <v>1</v>
      </c>
      <c r="BQ297">
        <v>0</v>
      </c>
      <c r="BR297">
        <v>0</v>
      </c>
      <c r="BS297">
        <v>0</v>
      </c>
      <c r="BT297">
        <v>1047.5791999999999</v>
      </c>
      <c r="BU297">
        <v>1.46</v>
      </c>
      <c r="BV297">
        <v>0</v>
      </c>
      <c r="BW297">
        <v>1</v>
      </c>
      <c r="CU297">
        <f>ROUND(AT297*Source!I293*AH297*AL297,2)</f>
        <v>2095.16</v>
      </c>
      <c r="CV297">
        <f>ROUND(Y297*Source!I293,7)</f>
        <v>2.92</v>
      </c>
      <c r="CW297">
        <v>0</v>
      </c>
      <c r="CX297">
        <f>ROUND(Y297*Source!I293,7)</f>
        <v>2.92</v>
      </c>
      <c r="CY297">
        <f t="shared" si="104"/>
        <v>717.52</v>
      </c>
      <c r="CZ297">
        <f t="shared" si="105"/>
        <v>717.52</v>
      </c>
      <c r="DA297">
        <f t="shared" si="106"/>
        <v>1</v>
      </c>
      <c r="DB297">
        <f t="shared" si="110"/>
        <v>1047.58</v>
      </c>
      <c r="DC297">
        <f t="shared" si="111"/>
        <v>0</v>
      </c>
      <c r="DD297" t="s">
        <v>3</v>
      </c>
      <c r="DE297" t="s">
        <v>3</v>
      </c>
      <c r="DF297">
        <f t="shared" si="107"/>
        <v>0</v>
      </c>
      <c r="DG297">
        <f t="shared" si="103"/>
        <v>0</v>
      </c>
      <c r="DH297">
        <f t="shared" si="90"/>
        <v>0</v>
      </c>
      <c r="DI297">
        <f t="shared" si="100"/>
        <v>2095.16</v>
      </c>
      <c r="DJ297">
        <f t="shared" si="108"/>
        <v>2095.16</v>
      </c>
      <c r="DK297">
        <v>1</v>
      </c>
      <c r="DL297" t="s">
        <v>3</v>
      </c>
      <c r="DM297">
        <v>0</v>
      </c>
      <c r="DN297" t="s">
        <v>3</v>
      </c>
      <c r="DO297">
        <v>0</v>
      </c>
    </row>
    <row r="298" spans="1:119" x14ac:dyDescent="0.2">
      <c r="A298">
        <f>ROW(Source!A294)</f>
        <v>294</v>
      </c>
      <c r="B298">
        <v>65170852</v>
      </c>
      <c r="C298">
        <v>65172009</v>
      </c>
      <c r="D298">
        <v>56217415</v>
      </c>
      <c r="E298">
        <v>108</v>
      </c>
      <c r="F298">
        <v>1</v>
      </c>
      <c r="G298">
        <v>1</v>
      </c>
      <c r="H298">
        <v>1</v>
      </c>
      <c r="I298" t="s">
        <v>702</v>
      </c>
      <c r="J298" t="s">
        <v>3</v>
      </c>
      <c r="K298" t="s">
        <v>703</v>
      </c>
      <c r="L298">
        <v>1369</v>
      </c>
      <c r="N298">
        <v>1013</v>
      </c>
      <c r="O298" t="s">
        <v>699</v>
      </c>
      <c r="P298" t="s">
        <v>699</v>
      </c>
      <c r="Q298">
        <v>1</v>
      </c>
      <c r="W298">
        <v>0</v>
      </c>
      <c r="X298">
        <v>-512803540</v>
      </c>
      <c r="Y298">
        <f t="shared" si="109"/>
        <v>1.62</v>
      </c>
      <c r="AA298">
        <v>0</v>
      </c>
      <c r="AB298">
        <v>0</v>
      </c>
      <c r="AC298">
        <v>0</v>
      </c>
      <c r="AD298">
        <v>490.55</v>
      </c>
      <c r="AE298">
        <v>0</v>
      </c>
      <c r="AF298">
        <v>0</v>
      </c>
      <c r="AG298">
        <v>0</v>
      </c>
      <c r="AH298">
        <v>490.55</v>
      </c>
      <c r="AI298">
        <v>1</v>
      </c>
      <c r="AJ298">
        <v>1</v>
      </c>
      <c r="AK298">
        <v>1</v>
      </c>
      <c r="AL298">
        <v>1</v>
      </c>
      <c r="AM298">
        <v>-2</v>
      </c>
      <c r="AN298">
        <v>0</v>
      </c>
      <c r="AO298">
        <v>0</v>
      </c>
      <c r="AP298">
        <v>0</v>
      </c>
      <c r="AQ298">
        <v>1</v>
      </c>
      <c r="AR298">
        <v>0</v>
      </c>
      <c r="AS298" t="s">
        <v>3</v>
      </c>
      <c r="AT298">
        <v>1.62</v>
      </c>
      <c r="AU298" t="s">
        <v>3</v>
      </c>
      <c r="AV298">
        <v>1</v>
      </c>
      <c r="AW298">
        <v>2</v>
      </c>
      <c r="AX298">
        <v>65172013</v>
      </c>
      <c r="AY298">
        <v>1</v>
      </c>
      <c r="AZ298">
        <v>0</v>
      </c>
      <c r="BA298">
        <v>307</v>
      </c>
      <c r="BB298">
        <v>1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794.69100000000003</v>
      </c>
      <c r="BN298">
        <v>1.62</v>
      </c>
      <c r="BO298">
        <v>0</v>
      </c>
      <c r="BP298">
        <v>1</v>
      </c>
      <c r="BQ298">
        <v>0</v>
      </c>
      <c r="BR298">
        <v>0</v>
      </c>
      <c r="BS298">
        <v>0</v>
      </c>
      <c r="BT298">
        <v>794.69100000000003</v>
      </c>
      <c r="BU298">
        <v>1.62</v>
      </c>
      <c r="BV298">
        <v>0</v>
      </c>
      <c r="BW298">
        <v>1</v>
      </c>
      <c r="CU298">
        <f>ROUND(AT298*Source!I294*AH298*AL298,2)</f>
        <v>2384.0700000000002</v>
      </c>
      <c r="CV298">
        <f>ROUND(Y298*Source!I294,7)</f>
        <v>4.8600000000000003</v>
      </c>
      <c r="CW298">
        <v>0</v>
      </c>
      <c r="CX298">
        <f>ROUND(Y298*Source!I294,7)</f>
        <v>4.8600000000000003</v>
      </c>
      <c r="CY298">
        <f t="shared" si="104"/>
        <v>490.55</v>
      </c>
      <c r="CZ298">
        <f t="shared" si="105"/>
        <v>490.55</v>
      </c>
      <c r="DA298">
        <f t="shared" si="106"/>
        <v>1</v>
      </c>
      <c r="DB298">
        <f t="shared" si="110"/>
        <v>794.69</v>
      </c>
      <c r="DC298">
        <f t="shared" si="111"/>
        <v>0</v>
      </c>
      <c r="DD298" t="s">
        <v>3</v>
      </c>
      <c r="DE298" t="s">
        <v>3</v>
      </c>
      <c r="DF298">
        <f t="shared" si="107"/>
        <v>0</v>
      </c>
      <c r="DG298">
        <f t="shared" si="103"/>
        <v>0</v>
      </c>
      <c r="DH298">
        <f t="shared" si="90"/>
        <v>0</v>
      </c>
      <c r="DI298">
        <f t="shared" si="100"/>
        <v>2384.0700000000002</v>
      </c>
      <c r="DJ298">
        <f t="shared" si="108"/>
        <v>2384.0700000000002</v>
      </c>
      <c r="DK298">
        <v>1</v>
      </c>
      <c r="DL298" t="s">
        <v>3</v>
      </c>
      <c r="DM298">
        <v>0</v>
      </c>
      <c r="DN298" t="s">
        <v>3</v>
      </c>
      <c r="DO298">
        <v>0</v>
      </c>
    </row>
    <row r="299" spans="1:119" x14ac:dyDescent="0.2">
      <c r="A299">
        <f>ROW(Source!A294)</f>
        <v>294</v>
      </c>
      <c r="B299">
        <v>65170852</v>
      </c>
      <c r="C299">
        <v>65172009</v>
      </c>
      <c r="D299">
        <v>56217437</v>
      </c>
      <c r="E299">
        <v>108</v>
      </c>
      <c r="F299">
        <v>1</v>
      </c>
      <c r="G299">
        <v>1</v>
      </c>
      <c r="H299">
        <v>1</v>
      </c>
      <c r="I299" t="s">
        <v>761</v>
      </c>
      <c r="J299" t="s">
        <v>3</v>
      </c>
      <c r="K299" t="s">
        <v>762</v>
      </c>
      <c r="L299">
        <v>1369</v>
      </c>
      <c r="N299">
        <v>1013</v>
      </c>
      <c r="O299" t="s">
        <v>699</v>
      </c>
      <c r="P299" t="s">
        <v>699</v>
      </c>
      <c r="Q299">
        <v>1</v>
      </c>
      <c r="W299">
        <v>0</v>
      </c>
      <c r="X299">
        <v>-1275334932</v>
      </c>
      <c r="Y299">
        <f t="shared" si="109"/>
        <v>1.62</v>
      </c>
      <c r="AA299">
        <v>0</v>
      </c>
      <c r="AB299">
        <v>0</v>
      </c>
      <c r="AC299">
        <v>0</v>
      </c>
      <c r="AD299">
        <v>468.58</v>
      </c>
      <c r="AE299">
        <v>0</v>
      </c>
      <c r="AF299">
        <v>0</v>
      </c>
      <c r="AG299">
        <v>0</v>
      </c>
      <c r="AH299">
        <v>468.58</v>
      </c>
      <c r="AI299">
        <v>1</v>
      </c>
      <c r="AJ299">
        <v>1</v>
      </c>
      <c r="AK299">
        <v>1</v>
      </c>
      <c r="AL299">
        <v>1</v>
      </c>
      <c r="AM299">
        <v>-2</v>
      </c>
      <c r="AN299">
        <v>0</v>
      </c>
      <c r="AO299">
        <v>0</v>
      </c>
      <c r="AP299">
        <v>0</v>
      </c>
      <c r="AQ299">
        <v>1</v>
      </c>
      <c r="AR299">
        <v>0</v>
      </c>
      <c r="AS299" t="s">
        <v>3</v>
      </c>
      <c r="AT299">
        <v>1.62</v>
      </c>
      <c r="AU299" t="s">
        <v>3</v>
      </c>
      <c r="AV299">
        <v>1</v>
      </c>
      <c r="AW299">
        <v>2</v>
      </c>
      <c r="AX299">
        <v>65172014</v>
      </c>
      <c r="AY299">
        <v>1</v>
      </c>
      <c r="AZ299">
        <v>0</v>
      </c>
      <c r="BA299">
        <v>308</v>
      </c>
      <c r="BB299">
        <v>1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759.09960000000001</v>
      </c>
      <c r="BN299">
        <v>1.62</v>
      </c>
      <c r="BO299">
        <v>0</v>
      </c>
      <c r="BP299">
        <v>1</v>
      </c>
      <c r="BQ299">
        <v>0</v>
      </c>
      <c r="BR299">
        <v>0</v>
      </c>
      <c r="BS299">
        <v>0</v>
      </c>
      <c r="BT299">
        <v>759.09960000000001</v>
      </c>
      <c r="BU299">
        <v>1.62</v>
      </c>
      <c r="BV299">
        <v>0</v>
      </c>
      <c r="BW299">
        <v>1</v>
      </c>
      <c r="CU299">
        <f>ROUND(AT299*Source!I294*AH299*AL299,2)</f>
        <v>2277.3000000000002</v>
      </c>
      <c r="CV299">
        <f>ROUND(Y299*Source!I294,7)</f>
        <v>4.8600000000000003</v>
      </c>
      <c r="CW299">
        <v>0</v>
      </c>
      <c r="CX299">
        <f>ROUND(Y299*Source!I294,7)</f>
        <v>4.8600000000000003</v>
      </c>
      <c r="CY299">
        <f t="shared" si="104"/>
        <v>468.58</v>
      </c>
      <c r="CZ299">
        <f t="shared" si="105"/>
        <v>468.58</v>
      </c>
      <c r="DA299">
        <f t="shared" si="106"/>
        <v>1</v>
      </c>
      <c r="DB299">
        <f t="shared" si="110"/>
        <v>759.1</v>
      </c>
      <c r="DC299">
        <f t="shared" si="111"/>
        <v>0</v>
      </c>
      <c r="DD299" t="s">
        <v>3</v>
      </c>
      <c r="DE299" t="s">
        <v>3</v>
      </c>
      <c r="DF299">
        <f t="shared" si="107"/>
        <v>0</v>
      </c>
      <c r="DG299">
        <f t="shared" si="103"/>
        <v>0</v>
      </c>
      <c r="DH299">
        <f t="shared" si="90"/>
        <v>0</v>
      </c>
      <c r="DI299">
        <f t="shared" si="100"/>
        <v>2277.3000000000002</v>
      </c>
      <c r="DJ299">
        <f t="shared" si="108"/>
        <v>2277.3000000000002</v>
      </c>
      <c r="DK299">
        <v>1</v>
      </c>
      <c r="DL299" t="s">
        <v>3</v>
      </c>
      <c r="DM299">
        <v>0</v>
      </c>
      <c r="DN299" t="s">
        <v>3</v>
      </c>
      <c r="DO299">
        <v>0</v>
      </c>
    </row>
    <row r="300" spans="1:119" x14ac:dyDescent="0.2">
      <c r="A300">
        <f>ROW(Source!A294)</f>
        <v>294</v>
      </c>
      <c r="B300">
        <v>65170852</v>
      </c>
      <c r="C300">
        <v>65172009</v>
      </c>
      <c r="D300">
        <v>56217448</v>
      </c>
      <c r="E300">
        <v>108</v>
      </c>
      <c r="F300">
        <v>1</v>
      </c>
      <c r="G300">
        <v>1</v>
      </c>
      <c r="H300">
        <v>1</v>
      </c>
      <c r="I300" t="s">
        <v>765</v>
      </c>
      <c r="J300" t="s">
        <v>3</v>
      </c>
      <c r="K300" t="s">
        <v>766</v>
      </c>
      <c r="L300">
        <v>1369</v>
      </c>
      <c r="N300">
        <v>1013</v>
      </c>
      <c r="O300" t="s">
        <v>699</v>
      </c>
      <c r="P300" t="s">
        <v>699</v>
      </c>
      <c r="Q300">
        <v>1</v>
      </c>
      <c r="W300">
        <v>0</v>
      </c>
      <c r="X300">
        <v>-2140504649</v>
      </c>
      <c r="Y300">
        <f t="shared" si="109"/>
        <v>4.8600000000000003</v>
      </c>
      <c r="AA300">
        <v>0</v>
      </c>
      <c r="AB300">
        <v>0</v>
      </c>
      <c r="AC300">
        <v>0</v>
      </c>
      <c r="AD300">
        <v>717.52</v>
      </c>
      <c r="AE300">
        <v>0</v>
      </c>
      <c r="AF300">
        <v>0</v>
      </c>
      <c r="AG300">
        <v>0</v>
      </c>
      <c r="AH300">
        <v>717.52</v>
      </c>
      <c r="AI300">
        <v>1</v>
      </c>
      <c r="AJ300">
        <v>1</v>
      </c>
      <c r="AK300">
        <v>1</v>
      </c>
      <c r="AL300">
        <v>1</v>
      </c>
      <c r="AM300">
        <v>-2</v>
      </c>
      <c r="AN300">
        <v>0</v>
      </c>
      <c r="AO300">
        <v>0</v>
      </c>
      <c r="AP300">
        <v>0</v>
      </c>
      <c r="AQ300">
        <v>1</v>
      </c>
      <c r="AR300">
        <v>0</v>
      </c>
      <c r="AS300" t="s">
        <v>3</v>
      </c>
      <c r="AT300">
        <v>4.8600000000000003</v>
      </c>
      <c r="AU300" t="s">
        <v>3</v>
      </c>
      <c r="AV300">
        <v>1</v>
      </c>
      <c r="AW300">
        <v>2</v>
      </c>
      <c r="AX300">
        <v>65172015</v>
      </c>
      <c r="AY300">
        <v>1</v>
      </c>
      <c r="AZ300">
        <v>0</v>
      </c>
      <c r="BA300">
        <v>309</v>
      </c>
      <c r="BB300">
        <v>1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3487.1472000000003</v>
      </c>
      <c r="BN300">
        <v>4.8600000000000003</v>
      </c>
      <c r="BO300">
        <v>0</v>
      </c>
      <c r="BP300">
        <v>1</v>
      </c>
      <c r="BQ300">
        <v>0</v>
      </c>
      <c r="BR300">
        <v>0</v>
      </c>
      <c r="BS300">
        <v>0</v>
      </c>
      <c r="BT300">
        <v>3487.1472000000003</v>
      </c>
      <c r="BU300">
        <v>4.8600000000000003</v>
      </c>
      <c r="BV300">
        <v>0</v>
      </c>
      <c r="BW300">
        <v>1</v>
      </c>
      <c r="CU300">
        <f>ROUND(AT300*Source!I294*AH300*AL300,2)</f>
        <v>10461.44</v>
      </c>
      <c r="CV300">
        <f>ROUND(Y300*Source!I294,7)</f>
        <v>14.58</v>
      </c>
      <c r="CW300">
        <v>0</v>
      </c>
      <c r="CX300">
        <f>ROUND(Y300*Source!I294,7)</f>
        <v>14.58</v>
      </c>
      <c r="CY300">
        <f t="shared" si="104"/>
        <v>717.52</v>
      </c>
      <c r="CZ300">
        <f t="shared" si="105"/>
        <v>717.52</v>
      </c>
      <c r="DA300">
        <f t="shared" si="106"/>
        <v>1</v>
      </c>
      <c r="DB300">
        <f t="shared" si="110"/>
        <v>3487.15</v>
      </c>
      <c r="DC300">
        <f t="shared" si="111"/>
        <v>0</v>
      </c>
      <c r="DD300" t="s">
        <v>3</v>
      </c>
      <c r="DE300" t="s">
        <v>3</v>
      </c>
      <c r="DF300">
        <f t="shared" si="107"/>
        <v>0</v>
      </c>
      <c r="DG300">
        <f t="shared" si="103"/>
        <v>0</v>
      </c>
      <c r="DH300">
        <f t="shared" si="90"/>
        <v>0</v>
      </c>
      <c r="DI300">
        <f t="shared" si="100"/>
        <v>10461.44</v>
      </c>
      <c r="DJ300">
        <f t="shared" si="108"/>
        <v>10461.44</v>
      </c>
      <c r="DK300">
        <v>1</v>
      </c>
      <c r="DL300" t="s">
        <v>3</v>
      </c>
      <c r="DM300">
        <v>0</v>
      </c>
      <c r="DN300" t="s">
        <v>3</v>
      </c>
      <c r="DO300">
        <v>0</v>
      </c>
    </row>
    <row r="301" spans="1:119" x14ac:dyDescent="0.2">
      <c r="A301">
        <f>ROW(Source!A295)</f>
        <v>295</v>
      </c>
      <c r="B301">
        <v>65170852</v>
      </c>
      <c r="C301">
        <v>65172016</v>
      </c>
      <c r="D301">
        <v>56217415</v>
      </c>
      <c r="E301">
        <v>108</v>
      </c>
      <c r="F301">
        <v>1</v>
      </c>
      <c r="G301">
        <v>1</v>
      </c>
      <c r="H301">
        <v>1</v>
      </c>
      <c r="I301" t="s">
        <v>702</v>
      </c>
      <c r="J301" t="s">
        <v>3</v>
      </c>
      <c r="K301" t="s">
        <v>703</v>
      </c>
      <c r="L301">
        <v>1369</v>
      </c>
      <c r="N301">
        <v>1013</v>
      </c>
      <c r="O301" t="s">
        <v>699</v>
      </c>
      <c r="P301" t="s">
        <v>699</v>
      </c>
      <c r="Q301">
        <v>1</v>
      </c>
      <c r="W301">
        <v>0</v>
      </c>
      <c r="X301">
        <v>-512803540</v>
      </c>
      <c r="Y301">
        <f t="shared" si="109"/>
        <v>1.08</v>
      </c>
      <c r="AA301">
        <v>0</v>
      </c>
      <c r="AB301">
        <v>0</v>
      </c>
      <c r="AC301">
        <v>0</v>
      </c>
      <c r="AD301">
        <v>490.55</v>
      </c>
      <c r="AE301">
        <v>0</v>
      </c>
      <c r="AF301">
        <v>0</v>
      </c>
      <c r="AG301">
        <v>0</v>
      </c>
      <c r="AH301">
        <v>490.55</v>
      </c>
      <c r="AI301">
        <v>1</v>
      </c>
      <c r="AJ301">
        <v>1</v>
      </c>
      <c r="AK301">
        <v>1</v>
      </c>
      <c r="AL301">
        <v>1</v>
      </c>
      <c r="AM301">
        <v>-2</v>
      </c>
      <c r="AN301">
        <v>0</v>
      </c>
      <c r="AO301">
        <v>0</v>
      </c>
      <c r="AP301">
        <v>0</v>
      </c>
      <c r="AQ301">
        <v>1</v>
      </c>
      <c r="AR301">
        <v>0</v>
      </c>
      <c r="AS301" t="s">
        <v>3</v>
      </c>
      <c r="AT301">
        <v>1.08</v>
      </c>
      <c r="AU301" t="s">
        <v>3</v>
      </c>
      <c r="AV301">
        <v>1</v>
      </c>
      <c r="AW301">
        <v>2</v>
      </c>
      <c r="AX301">
        <v>65172020</v>
      </c>
      <c r="AY301">
        <v>1</v>
      </c>
      <c r="AZ301">
        <v>0</v>
      </c>
      <c r="BA301">
        <v>310</v>
      </c>
      <c r="BB301">
        <v>1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529.7940000000001</v>
      </c>
      <c r="BN301">
        <v>1.08</v>
      </c>
      <c r="BO301">
        <v>0</v>
      </c>
      <c r="BP301">
        <v>1</v>
      </c>
      <c r="BQ301">
        <v>0</v>
      </c>
      <c r="BR301">
        <v>0</v>
      </c>
      <c r="BS301">
        <v>0</v>
      </c>
      <c r="BT301">
        <v>529.7940000000001</v>
      </c>
      <c r="BU301">
        <v>1.08</v>
      </c>
      <c r="BV301">
        <v>0</v>
      </c>
      <c r="BW301">
        <v>1</v>
      </c>
      <c r="CU301">
        <f>ROUND(AT301*Source!I295*AH301*AL301,2)</f>
        <v>2119.1799999999998</v>
      </c>
      <c r="CV301">
        <f>ROUND(Y301*Source!I295,7)</f>
        <v>4.32</v>
      </c>
      <c r="CW301">
        <v>0</v>
      </c>
      <c r="CX301">
        <f>ROUND(Y301*Source!I295,7)</f>
        <v>4.32</v>
      </c>
      <c r="CY301">
        <f t="shared" si="104"/>
        <v>490.55</v>
      </c>
      <c r="CZ301">
        <f t="shared" si="105"/>
        <v>490.55</v>
      </c>
      <c r="DA301">
        <f t="shared" si="106"/>
        <v>1</v>
      </c>
      <c r="DB301">
        <f t="shared" si="110"/>
        <v>529.79</v>
      </c>
      <c r="DC301">
        <f t="shared" si="111"/>
        <v>0</v>
      </c>
      <c r="DD301" t="s">
        <v>3</v>
      </c>
      <c r="DE301" t="s">
        <v>3</v>
      </c>
      <c r="DF301">
        <f t="shared" si="107"/>
        <v>0</v>
      </c>
      <c r="DG301">
        <f t="shared" si="103"/>
        <v>0</v>
      </c>
      <c r="DH301">
        <f t="shared" si="90"/>
        <v>0</v>
      </c>
      <c r="DI301">
        <f t="shared" si="100"/>
        <v>2119.1799999999998</v>
      </c>
      <c r="DJ301">
        <f t="shared" si="108"/>
        <v>2119.1799999999998</v>
      </c>
      <c r="DK301">
        <v>1</v>
      </c>
      <c r="DL301" t="s">
        <v>3</v>
      </c>
      <c r="DM301">
        <v>0</v>
      </c>
      <c r="DN301" t="s">
        <v>3</v>
      </c>
      <c r="DO301">
        <v>0</v>
      </c>
    </row>
    <row r="302" spans="1:119" x14ac:dyDescent="0.2">
      <c r="A302">
        <f>ROW(Source!A295)</f>
        <v>295</v>
      </c>
      <c r="B302">
        <v>65170852</v>
      </c>
      <c r="C302">
        <v>65172016</v>
      </c>
      <c r="D302">
        <v>56217437</v>
      </c>
      <c r="E302">
        <v>108</v>
      </c>
      <c r="F302">
        <v>1</v>
      </c>
      <c r="G302">
        <v>1</v>
      </c>
      <c r="H302">
        <v>1</v>
      </c>
      <c r="I302" t="s">
        <v>761</v>
      </c>
      <c r="J302" t="s">
        <v>3</v>
      </c>
      <c r="K302" t="s">
        <v>762</v>
      </c>
      <c r="L302">
        <v>1369</v>
      </c>
      <c r="N302">
        <v>1013</v>
      </c>
      <c r="O302" t="s">
        <v>699</v>
      </c>
      <c r="P302" t="s">
        <v>699</v>
      </c>
      <c r="Q302">
        <v>1</v>
      </c>
      <c r="W302">
        <v>0</v>
      </c>
      <c r="X302">
        <v>-1275334932</v>
      </c>
      <c r="Y302">
        <f t="shared" si="109"/>
        <v>1.08</v>
      </c>
      <c r="AA302">
        <v>0</v>
      </c>
      <c r="AB302">
        <v>0</v>
      </c>
      <c r="AC302">
        <v>0</v>
      </c>
      <c r="AD302">
        <v>468.58</v>
      </c>
      <c r="AE302">
        <v>0</v>
      </c>
      <c r="AF302">
        <v>0</v>
      </c>
      <c r="AG302">
        <v>0</v>
      </c>
      <c r="AH302">
        <v>468.58</v>
      </c>
      <c r="AI302">
        <v>1</v>
      </c>
      <c r="AJ302">
        <v>1</v>
      </c>
      <c r="AK302">
        <v>1</v>
      </c>
      <c r="AL302">
        <v>1</v>
      </c>
      <c r="AM302">
        <v>-2</v>
      </c>
      <c r="AN302">
        <v>0</v>
      </c>
      <c r="AO302">
        <v>0</v>
      </c>
      <c r="AP302">
        <v>0</v>
      </c>
      <c r="AQ302">
        <v>1</v>
      </c>
      <c r="AR302">
        <v>0</v>
      </c>
      <c r="AS302" t="s">
        <v>3</v>
      </c>
      <c r="AT302">
        <v>1.08</v>
      </c>
      <c r="AU302" t="s">
        <v>3</v>
      </c>
      <c r="AV302">
        <v>1</v>
      </c>
      <c r="AW302">
        <v>2</v>
      </c>
      <c r="AX302">
        <v>65172021</v>
      </c>
      <c r="AY302">
        <v>1</v>
      </c>
      <c r="AZ302">
        <v>0</v>
      </c>
      <c r="BA302">
        <v>311</v>
      </c>
      <c r="BB302">
        <v>1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506.06640000000004</v>
      </c>
      <c r="BN302">
        <v>1.08</v>
      </c>
      <c r="BO302">
        <v>0</v>
      </c>
      <c r="BP302">
        <v>1</v>
      </c>
      <c r="BQ302">
        <v>0</v>
      </c>
      <c r="BR302">
        <v>0</v>
      </c>
      <c r="BS302">
        <v>0</v>
      </c>
      <c r="BT302">
        <v>506.06640000000004</v>
      </c>
      <c r="BU302">
        <v>1.08</v>
      </c>
      <c r="BV302">
        <v>0</v>
      </c>
      <c r="BW302">
        <v>1</v>
      </c>
      <c r="CU302">
        <f>ROUND(AT302*Source!I295*AH302*AL302,2)</f>
        <v>2024.27</v>
      </c>
      <c r="CV302">
        <f>ROUND(Y302*Source!I295,7)</f>
        <v>4.32</v>
      </c>
      <c r="CW302">
        <v>0</v>
      </c>
      <c r="CX302">
        <f>ROUND(Y302*Source!I295,7)</f>
        <v>4.32</v>
      </c>
      <c r="CY302">
        <f t="shared" si="104"/>
        <v>468.58</v>
      </c>
      <c r="CZ302">
        <f t="shared" si="105"/>
        <v>468.58</v>
      </c>
      <c r="DA302">
        <f t="shared" si="106"/>
        <v>1</v>
      </c>
      <c r="DB302">
        <f t="shared" si="110"/>
        <v>506.07</v>
      </c>
      <c r="DC302">
        <f t="shared" si="111"/>
        <v>0</v>
      </c>
      <c r="DD302" t="s">
        <v>3</v>
      </c>
      <c r="DE302" t="s">
        <v>3</v>
      </c>
      <c r="DF302">
        <f t="shared" si="107"/>
        <v>0</v>
      </c>
      <c r="DG302">
        <f t="shared" si="103"/>
        <v>0</v>
      </c>
      <c r="DH302">
        <f t="shared" si="90"/>
        <v>0</v>
      </c>
      <c r="DI302">
        <f t="shared" si="100"/>
        <v>2024.27</v>
      </c>
      <c r="DJ302">
        <f t="shared" si="108"/>
        <v>2024.27</v>
      </c>
      <c r="DK302">
        <v>1</v>
      </c>
      <c r="DL302" t="s">
        <v>3</v>
      </c>
      <c r="DM302">
        <v>0</v>
      </c>
      <c r="DN302" t="s">
        <v>3</v>
      </c>
      <c r="DO302">
        <v>0</v>
      </c>
    </row>
    <row r="303" spans="1:119" x14ac:dyDescent="0.2">
      <c r="A303">
        <f>ROW(Source!A295)</f>
        <v>295</v>
      </c>
      <c r="B303">
        <v>65170852</v>
      </c>
      <c r="C303">
        <v>65172016</v>
      </c>
      <c r="D303">
        <v>56217448</v>
      </c>
      <c r="E303">
        <v>108</v>
      </c>
      <c r="F303">
        <v>1</v>
      </c>
      <c r="G303">
        <v>1</v>
      </c>
      <c r="H303">
        <v>1</v>
      </c>
      <c r="I303" t="s">
        <v>765</v>
      </c>
      <c r="J303" t="s">
        <v>3</v>
      </c>
      <c r="K303" t="s">
        <v>766</v>
      </c>
      <c r="L303">
        <v>1369</v>
      </c>
      <c r="N303">
        <v>1013</v>
      </c>
      <c r="O303" t="s">
        <v>699</v>
      </c>
      <c r="P303" t="s">
        <v>699</v>
      </c>
      <c r="Q303">
        <v>1</v>
      </c>
      <c r="W303">
        <v>0</v>
      </c>
      <c r="X303">
        <v>-2140504649</v>
      </c>
      <c r="Y303">
        <f t="shared" si="109"/>
        <v>3.24</v>
      </c>
      <c r="AA303">
        <v>0</v>
      </c>
      <c r="AB303">
        <v>0</v>
      </c>
      <c r="AC303">
        <v>0</v>
      </c>
      <c r="AD303">
        <v>717.52</v>
      </c>
      <c r="AE303">
        <v>0</v>
      </c>
      <c r="AF303">
        <v>0</v>
      </c>
      <c r="AG303">
        <v>0</v>
      </c>
      <c r="AH303">
        <v>717.52</v>
      </c>
      <c r="AI303">
        <v>1</v>
      </c>
      <c r="AJ303">
        <v>1</v>
      </c>
      <c r="AK303">
        <v>1</v>
      </c>
      <c r="AL303">
        <v>1</v>
      </c>
      <c r="AM303">
        <v>-2</v>
      </c>
      <c r="AN303">
        <v>0</v>
      </c>
      <c r="AO303">
        <v>0</v>
      </c>
      <c r="AP303">
        <v>0</v>
      </c>
      <c r="AQ303">
        <v>1</v>
      </c>
      <c r="AR303">
        <v>0</v>
      </c>
      <c r="AS303" t="s">
        <v>3</v>
      </c>
      <c r="AT303">
        <v>3.24</v>
      </c>
      <c r="AU303" t="s">
        <v>3</v>
      </c>
      <c r="AV303">
        <v>1</v>
      </c>
      <c r="AW303">
        <v>2</v>
      </c>
      <c r="AX303">
        <v>65172022</v>
      </c>
      <c r="AY303">
        <v>1</v>
      </c>
      <c r="AZ303">
        <v>0</v>
      </c>
      <c r="BA303">
        <v>312</v>
      </c>
      <c r="BB303">
        <v>1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2324.7647999999999</v>
      </c>
      <c r="BN303">
        <v>3.24</v>
      </c>
      <c r="BO303">
        <v>0</v>
      </c>
      <c r="BP303">
        <v>1</v>
      </c>
      <c r="BQ303">
        <v>0</v>
      </c>
      <c r="BR303">
        <v>0</v>
      </c>
      <c r="BS303">
        <v>0</v>
      </c>
      <c r="BT303">
        <v>2324.7647999999999</v>
      </c>
      <c r="BU303">
        <v>3.24</v>
      </c>
      <c r="BV303">
        <v>0</v>
      </c>
      <c r="BW303">
        <v>1</v>
      </c>
      <c r="CU303">
        <f>ROUND(AT303*Source!I295*AH303*AL303,2)</f>
        <v>9299.06</v>
      </c>
      <c r="CV303">
        <f>ROUND(Y303*Source!I295,7)</f>
        <v>12.96</v>
      </c>
      <c r="CW303">
        <v>0</v>
      </c>
      <c r="CX303">
        <f>ROUND(Y303*Source!I295,7)</f>
        <v>12.96</v>
      </c>
      <c r="CY303">
        <f t="shared" si="104"/>
        <v>717.52</v>
      </c>
      <c r="CZ303">
        <f t="shared" si="105"/>
        <v>717.52</v>
      </c>
      <c r="DA303">
        <f t="shared" si="106"/>
        <v>1</v>
      </c>
      <c r="DB303">
        <f t="shared" si="110"/>
        <v>2324.7600000000002</v>
      </c>
      <c r="DC303">
        <f t="shared" si="111"/>
        <v>0</v>
      </c>
      <c r="DD303" t="s">
        <v>3</v>
      </c>
      <c r="DE303" t="s">
        <v>3</v>
      </c>
      <c r="DF303">
        <f t="shared" si="107"/>
        <v>0</v>
      </c>
      <c r="DG303">
        <f t="shared" si="103"/>
        <v>0</v>
      </c>
      <c r="DH303">
        <f t="shared" si="90"/>
        <v>0</v>
      </c>
      <c r="DI303">
        <f t="shared" si="100"/>
        <v>9299.06</v>
      </c>
      <c r="DJ303">
        <f t="shared" si="108"/>
        <v>9299.06</v>
      </c>
      <c r="DK303">
        <v>1</v>
      </c>
      <c r="DL303" t="s">
        <v>3</v>
      </c>
      <c r="DM303">
        <v>0</v>
      </c>
      <c r="DN303" t="s">
        <v>3</v>
      </c>
      <c r="DO303">
        <v>0</v>
      </c>
    </row>
    <row r="304" spans="1:119" x14ac:dyDescent="0.2">
      <c r="A304">
        <f>ROW(Source!A296)</f>
        <v>296</v>
      </c>
      <c r="B304">
        <v>65170852</v>
      </c>
      <c r="C304">
        <v>65172023</v>
      </c>
      <c r="D304">
        <v>56217415</v>
      </c>
      <c r="E304">
        <v>108</v>
      </c>
      <c r="F304">
        <v>1</v>
      </c>
      <c r="G304">
        <v>1</v>
      </c>
      <c r="H304">
        <v>1</v>
      </c>
      <c r="I304" t="s">
        <v>702</v>
      </c>
      <c r="J304" t="s">
        <v>3</v>
      </c>
      <c r="K304" t="s">
        <v>703</v>
      </c>
      <c r="L304">
        <v>1369</v>
      </c>
      <c r="N304">
        <v>1013</v>
      </c>
      <c r="O304" t="s">
        <v>699</v>
      </c>
      <c r="P304" t="s">
        <v>699</v>
      </c>
      <c r="Q304">
        <v>1</v>
      </c>
      <c r="W304">
        <v>0</v>
      </c>
      <c r="X304">
        <v>-512803540</v>
      </c>
      <c r="Y304">
        <f t="shared" si="109"/>
        <v>1.08</v>
      </c>
      <c r="AA304">
        <v>0</v>
      </c>
      <c r="AB304">
        <v>0</v>
      </c>
      <c r="AC304">
        <v>0</v>
      </c>
      <c r="AD304">
        <v>490.55</v>
      </c>
      <c r="AE304">
        <v>0</v>
      </c>
      <c r="AF304">
        <v>0</v>
      </c>
      <c r="AG304">
        <v>0</v>
      </c>
      <c r="AH304">
        <v>490.55</v>
      </c>
      <c r="AI304">
        <v>1</v>
      </c>
      <c r="AJ304">
        <v>1</v>
      </c>
      <c r="AK304">
        <v>1</v>
      </c>
      <c r="AL304">
        <v>1</v>
      </c>
      <c r="AM304">
        <v>-2</v>
      </c>
      <c r="AN304">
        <v>0</v>
      </c>
      <c r="AO304">
        <v>0</v>
      </c>
      <c r="AP304">
        <v>0</v>
      </c>
      <c r="AQ304">
        <v>1</v>
      </c>
      <c r="AR304">
        <v>0</v>
      </c>
      <c r="AS304" t="s">
        <v>3</v>
      </c>
      <c r="AT304">
        <v>1.08</v>
      </c>
      <c r="AU304" t="s">
        <v>3</v>
      </c>
      <c r="AV304">
        <v>1</v>
      </c>
      <c r="AW304">
        <v>2</v>
      </c>
      <c r="AX304">
        <v>65172026</v>
      </c>
      <c r="AY304">
        <v>1</v>
      </c>
      <c r="AZ304">
        <v>0</v>
      </c>
      <c r="BA304">
        <v>313</v>
      </c>
      <c r="BB304">
        <v>1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529.7940000000001</v>
      </c>
      <c r="BN304">
        <v>1.08</v>
      </c>
      <c r="BO304">
        <v>0</v>
      </c>
      <c r="BP304">
        <v>1</v>
      </c>
      <c r="BQ304">
        <v>0</v>
      </c>
      <c r="BR304">
        <v>0</v>
      </c>
      <c r="BS304">
        <v>0</v>
      </c>
      <c r="BT304">
        <v>529.7940000000001</v>
      </c>
      <c r="BU304">
        <v>1.08</v>
      </c>
      <c r="BV304">
        <v>0</v>
      </c>
      <c r="BW304">
        <v>1</v>
      </c>
      <c r="CU304">
        <f>ROUND(AT304*Source!I296*AH304*AL304,2)</f>
        <v>1589.38</v>
      </c>
      <c r="CV304">
        <f>ROUND(Y304*Source!I296,7)</f>
        <v>3.24</v>
      </c>
      <c r="CW304">
        <v>0</v>
      </c>
      <c r="CX304">
        <f>ROUND(Y304*Source!I296,7)</f>
        <v>3.24</v>
      </c>
      <c r="CY304">
        <f t="shared" si="104"/>
        <v>490.55</v>
      </c>
      <c r="CZ304">
        <f t="shared" si="105"/>
        <v>490.55</v>
      </c>
      <c r="DA304">
        <f t="shared" si="106"/>
        <v>1</v>
      </c>
      <c r="DB304">
        <f t="shared" si="110"/>
        <v>529.79</v>
      </c>
      <c r="DC304">
        <f t="shared" si="111"/>
        <v>0</v>
      </c>
      <c r="DD304" t="s">
        <v>3</v>
      </c>
      <c r="DE304" t="s">
        <v>3</v>
      </c>
      <c r="DF304">
        <f t="shared" si="107"/>
        <v>0</v>
      </c>
      <c r="DG304">
        <f t="shared" si="103"/>
        <v>0</v>
      </c>
      <c r="DH304">
        <f t="shared" si="90"/>
        <v>0</v>
      </c>
      <c r="DI304">
        <f t="shared" si="100"/>
        <v>1589.38</v>
      </c>
      <c r="DJ304">
        <f t="shared" si="108"/>
        <v>1589.38</v>
      </c>
      <c r="DK304">
        <v>1</v>
      </c>
      <c r="DL304" t="s">
        <v>3</v>
      </c>
      <c r="DM304">
        <v>0</v>
      </c>
      <c r="DN304" t="s">
        <v>3</v>
      </c>
      <c r="DO304">
        <v>0</v>
      </c>
    </row>
    <row r="305" spans="1:119" x14ac:dyDescent="0.2">
      <c r="A305">
        <f>ROW(Source!A296)</f>
        <v>296</v>
      </c>
      <c r="B305">
        <v>65170852</v>
      </c>
      <c r="C305">
        <v>65172023</v>
      </c>
      <c r="D305">
        <v>56217448</v>
      </c>
      <c r="E305">
        <v>108</v>
      </c>
      <c r="F305">
        <v>1</v>
      </c>
      <c r="G305">
        <v>1</v>
      </c>
      <c r="H305">
        <v>1</v>
      </c>
      <c r="I305" t="s">
        <v>765</v>
      </c>
      <c r="J305" t="s">
        <v>3</v>
      </c>
      <c r="K305" t="s">
        <v>766</v>
      </c>
      <c r="L305">
        <v>1369</v>
      </c>
      <c r="N305">
        <v>1013</v>
      </c>
      <c r="O305" t="s">
        <v>699</v>
      </c>
      <c r="P305" t="s">
        <v>699</v>
      </c>
      <c r="Q305">
        <v>1</v>
      </c>
      <c r="W305">
        <v>0</v>
      </c>
      <c r="X305">
        <v>-2140504649</v>
      </c>
      <c r="Y305">
        <f t="shared" si="109"/>
        <v>1.62</v>
      </c>
      <c r="AA305">
        <v>0</v>
      </c>
      <c r="AB305">
        <v>0</v>
      </c>
      <c r="AC305">
        <v>0</v>
      </c>
      <c r="AD305">
        <v>717.52</v>
      </c>
      <c r="AE305">
        <v>0</v>
      </c>
      <c r="AF305">
        <v>0</v>
      </c>
      <c r="AG305">
        <v>0</v>
      </c>
      <c r="AH305">
        <v>717.52</v>
      </c>
      <c r="AI305">
        <v>1</v>
      </c>
      <c r="AJ305">
        <v>1</v>
      </c>
      <c r="AK305">
        <v>1</v>
      </c>
      <c r="AL305">
        <v>1</v>
      </c>
      <c r="AM305">
        <v>-2</v>
      </c>
      <c r="AN305">
        <v>0</v>
      </c>
      <c r="AO305">
        <v>0</v>
      </c>
      <c r="AP305">
        <v>0</v>
      </c>
      <c r="AQ305">
        <v>1</v>
      </c>
      <c r="AR305">
        <v>0</v>
      </c>
      <c r="AS305" t="s">
        <v>3</v>
      </c>
      <c r="AT305">
        <v>1.62</v>
      </c>
      <c r="AU305" t="s">
        <v>3</v>
      </c>
      <c r="AV305">
        <v>1</v>
      </c>
      <c r="AW305">
        <v>2</v>
      </c>
      <c r="AX305">
        <v>65172027</v>
      </c>
      <c r="AY305">
        <v>1</v>
      </c>
      <c r="AZ305">
        <v>0</v>
      </c>
      <c r="BA305">
        <v>314</v>
      </c>
      <c r="BB305">
        <v>1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1162.3824</v>
      </c>
      <c r="BN305">
        <v>1.62</v>
      </c>
      <c r="BO305">
        <v>0</v>
      </c>
      <c r="BP305">
        <v>1</v>
      </c>
      <c r="BQ305">
        <v>0</v>
      </c>
      <c r="BR305">
        <v>0</v>
      </c>
      <c r="BS305">
        <v>0</v>
      </c>
      <c r="BT305">
        <v>1162.3824</v>
      </c>
      <c r="BU305">
        <v>1.62</v>
      </c>
      <c r="BV305">
        <v>0</v>
      </c>
      <c r="BW305">
        <v>1</v>
      </c>
      <c r="CU305">
        <f>ROUND(AT305*Source!I296*AH305*AL305,2)</f>
        <v>3487.15</v>
      </c>
      <c r="CV305">
        <f>ROUND(Y305*Source!I296,7)</f>
        <v>4.8600000000000003</v>
      </c>
      <c r="CW305">
        <v>0</v>
      </c>
      <c r="CX305">
        <f>ROUND(Y305*Source!I296,7)</f>
        <v>4.8600000000000003</v>
      </c>
      <c r="CY305">
        <f t="shared" si="104"/>
        <v>717.52</v>
      </c>
      <c r="CZ305">
        <f t="shared" si="105"/>
        <v>717.52</v>
      </c>
      <c r="DA305">
        <f t="shared" si="106"/>
        <v>1</v>
      </c>
      <c r="DB305">
        <f t="shared" si="110"/>
        <v>1162.3800000000001</v>
      </c>
      <c r="DC305">
        <f t="shared" si="111"/>
        <v>0</v>
      </c>
      <c r="DD305" t="s">
        <v>3</v>
      </c>
      <c r="DE305" t="s">
        <v>3</v>
      </c>
      <c r="DF305">
        <f t="shared" si="107"/>
        <v>0</v>
      </c>
      <c r="DG305">
        <f t="shared" si="103"/>
        <v>0</v>
      </c>
      <c r="DH305">
        <f t="shared" si="90"/>
        <v>0</v>
      </c>
      <c r="DI305">
        <f t="shared" si="100"/>
        <v>3487.15</v>
      </c>
      <c r="DJ305">
        <f t="shared" si="108"/>
        <v>3487.15</v>
      </c>
      <c r="DK305">
        <v>1</v>
      </c>
      <c r="DL305" t="s">
        <v>3</v>
      </c>
      <c r="DM305">
        <v>0</v>
      </c>
      <c r="DN305" t="s">
        <v>3</v>
      </c>
      <c r="DO305">
        <v>0</v>
      </c>
    </row>
    <row r="306" spans="1:119" x14ac:dyDescent="0.2">
      <c r="A306">
        <f>ROW(Source!A297)</f>
        <v>297</v>
      </c>
      <c r="B306">
        <v>65170852</v>
      </c>
      <c r="C306">
        <v>65172028</v>
      </c>
      <c r="D306">
        <v>56217421</v>
      </c>
      <c r="E306">
        <v>108</v>
      </c>
      <c r="F306">
        <v>1</v>
      </c>
      <c r="G306">
        <v>1</v>
      </c>
      <c r="H306">
        <v>1</v>
      </c>
      <c r="I306" t="s">
        <v>757</v>
      </c>
      <c r="J306" t="s">
        <v>3</v>
      </c>
      <c r="K306" t="s">
        <v>758</v>
      </c>
      <c r="L306">
        <v>1369</v>
      </c>
      <c r="N306">
        <v>1013</v>
      </c>
      <c r="O306" t="s">
        <v>699</v>
      </c>
      <c r="P306" t="s">
        <v>699</v>
      </c>
      <c r="Q306">
        <v>1</v>
      </c>
      <c r="W306">
        <v>0</v>
      </c>
      <c r="X306">
        <v>286205319</v>
      </c>
      <c r="Y306">
        <f t="shared" si="109"/>
        <v>0.81</v>
      </c>
      <c r="AA306">
        <v>0</v>
      </c>
      <c r="AB306">
        <v>0</v>
      </c>
      <c r="AC306">
        <v>0</v>
      </c>
      <c r="AD306">
        <v>658.94</v>
      </c>
      <c r="AE306">
        <v>0</v>
      </c>
      <c r="AF306">
        <v>0</v>
      </c>
      <c r="AG306">
        <v>0</v>
      </c>
      <c r="AH306">
        <v>658.94</v>
      </c>
      <c r="AI306">
        <v>1</v>
      </c>
      <c r="AJ306">
        <v>1</v>
      </c>
      <c r="AK306">
        <v>1</v>
      </c>
      <c r="AL306">
        <v>1</v>
      </c>
      <c r="AM306">
        <v>-2</v>
      </c>
      <c r="AN306">
        <v>0</v>
      </c>
      <c r="AO306">
        <v>0</v>
      </c>
      <c r="AP306">
        <v>0</v>
      </c>
      <c r="AQ306">
        <v>1</v>
      </c>
      <c r="AR306">
        <v>0</v>
      </c>
      <c r="AS306" t="s">
        <v>3</v>
      </c>
      <c r="AT306">
        <v>0.81</v>
      </c>
      <c r="AU306" t="s">
        <v>3</v>
      </c>
      <c r="AV306">
        <v>1</v>
      </c>
      <c r="AW306">
        <v>2</v>
      </c>
      <c r="AX306">
        <v>65172031</v>
      </c>
      <c r="AY306">
        <v>1</v>
      </c>
      <c r="AZ306">
        <v>0</v>
      </c>
      <c r="BA306">
        <v>315</v>
      </c>
      <c r="BB306">
        <v>1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533.74140000000011</v>
      </c>
      <c r="BN306">
        <v>0.81</v>
      </c>
      <c r="BO306">
        <v>0</v>
      </c>
      <c r="BP306">
        <v>1</v>
      </c>
      <c r="BQ306">
        <v>0</v>
      </c>
      <c r="BR306">
        <v>0</v>
      </c>
      <c r="BS306">
        <v>0</v>
      </c>
      <c r="BT306">
        <v>533.74140000000011</v>
      </c>
      <c r="BU306">
        <v>0.81</v>
      </c>
      <c r="BV306">
        <v>0</v>
      </c>
      <c r="BW306">
        <v>1</v>
      </c>
      <c r="CU306">
        <f>ROUND(AT306*Source!I297*AH306*AL306,2)</f>
        <v>533.74</v>
      </c>
      <c r="CV306">
        <f>ROUND(Y306*Source!I297,7)</f>
        <v>0.81</v>
      </c>
      <c r="CW306">
        <v>0</v>
      </c>
      <c r="CX306">
        <f>ROUND(Y306*Source!I297,7)</f>
        <v>0.81</v>
      </c>
      <c r="CY306">
        <f t="shared" si="104"/>
        <v>658.94</v>
      </c>
      <c r="CZ306">
        <f t="shared" si="105"/>
        <v>658.94</v>
      </c>
      <c r="DA306">
        <f t="shared" si="106"/>
        <v>1</v>
      </c>
      <c r="DB306">
        <f t="shared" si="110"/>
        <v>533.74</v>
      </c>
      <c r="DC306">
        <f t="shared" si="111"/>
        <v>0</v>
      </c>
      <c r="DD306" t="s">
        <v>3</v>
      </c>
      <c r="DE306" t="s">
        <v>3</v>
      </c>
      <c r="DF306">
        <f t="shared" si="107"/>
        <v>0</v>
      </c>
      <c r="DG306">
        <f t="shared" si="103"/>
        <v>0</v>
      </c>
      <c r="DH306">
        <f t="shared" si="90"/>
        <v>0</v>
      </c>
      <c r="DI306">
        <f t="shared" si="100"/>
        <v>533.74</v>
      </c>
      <c r="DJ306">
        <f t="shared" si="108"/>
        <v>533.74</v>
      </c>
      <c r="DK306">
        <v>1</v>
      </c>
      <c r="DL306" t="s">
        <v>3</v>
      </c>
      <c r="DM306">
        <v>0</v>
      </c>
      <c r="DN306" t="s">
        <v>3</v>
      </c>
      <c r="DO306">
        <v>0</v>
      </c>
    </row>
    <row r="307" spans="1:119" x14ac:dyDescent="0.2">
      <c r="A307">
        <f>ROW(Source!A297)</f>
        <v>297</v>
      </c>
      <c r="B307">
        <v>65170852</v>
      </c>
      <c r="C307">
        <v>65172028</v>
      </c>
      <c r="D307">
        <v>56217452</v>
      </c>
      <c r="E307">
        <v>108</v>
      </c>
      <c r="F307">
        <v>1</v>
      </c>
      <c r="G307">
        <v>1</v>
      </c>
      <c r="H307">
        <v>1</v>
      </c>
      <c r="I307" t="s">
        <v>759</v>
      </c>
      <c r="J307" t="s">
        <v>3</v>
      </c>
      <c r="K307" t="s">
        <v>760</v>
      </c>
      <c r="L307">
        <v>1369</v>
      </c>
      <c r="N307">
        <v>1013</v>
      </c>
      <c r="O307" t="s">
        <v>699</v>
      </c>
      <c r="P307" t="s">
        <v>699</v>
      </c>
      <c r="Q307">
        <v>1</v>
      </c>
      <c r="W307">
        <v>0</v>
      </c>
      <c r="X307">
        <v>126826561</v>
      </c>
      <c r="Y307">
        <f t="shared" si="109"/>
        <v>0.81</v>
      </c>
      <c r="AA307">
        <v>0</v>
      </c>
      <c r="AB307">
        <v>0</v>
      </c>
      <c r="AC307">
        <v>0</v>
      </c>
      <c r="AD307">
        <v>644.29999999999995</v>
      </c>
      <c r="AE307">
        <v>0</v>
      </c>
      <c r="AF307">
        <v>0</v>
      </c>
      <c r="AG307">
        <v>0</v>
      </c>
      <c r="AH307">
        <v>644.29999999999995</v>
      </c>
      <c r="AI307">
        <v>1</v>
      </c>
      <c r="AJ307">
        <v>1</v>
      </c>
      <c r="AK307">
        <v>1</v>
      </c>
      <c r="AL307">
        <v>1</v>
      </c>
      <c r="AM307">
        <v>-2</v>
      </c>
      <c r="AN307">
        <v>0</v>
      </c>
      <c r="AO307">
        <v>0</v>
      </c>
      <c r="AP307">
        <v>0</v>
      </c>
      <c r="AQ307">
        <v>1</v>
      </c>
      <c r="AR307">
        <v>0</v>
      </c>
      <c r="AS307" t="s">
        <v>3</v>
      </c>
      <c r="AT307">
        <v>0.81</v>
      </c>
      <c r="AU307" t="s">
        <v>3</v>
      </c>
      <c r="AV307">
        <v>1</v>
      </c>
      <c r="AW307">
        <v>2</v>
      </c>
      <c r="AX307">
        <v>65172032</v>
      </c>
      <c r="AY307">
        <v>1</v>
      </c>
      <c r="AZ307">
        <v>0</v>
      </c>
      <c r="BA307">
        <v>316</v>
      </c>
      <c r="BB307">
        <v>1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521.88300000000004</v>
      </c>
      <c r="BN307">
        <v>0.81</v>
      </c>
      <c r="BO307">
        <v>0</v>
      </c>
      <c r="BP307">
        <v>1</v>
      </c>
      <c r="BQ307">
        <v>0</v>
      </c>
      <c r="BR307">
        <v>0</v>
      </c>
      <c r="BS307">
        <v>0</v>
      </c>
      <c r="BT307">
        <v>521.88300000000004</v>
      </c>
      <c r="BU307">
        <v>0.81</v>
      </c>
      <c r="BV307">
        <v>0</v>
      </c>
      <c r="BW307">
        <v>1</v>
      </c>
      <c r="CU307">
        <f>ROUND(AT307*Source!I297*AH307*AL307,2)</f>
        <v>521.88</v>
      </c>
      <c r="CV307">
        <f>ROUND(Y307*Source!I297,7)</f>
        <v>0.81</v>
      </c>
      <c r="CW307">
        <v>0</v>
      </c>
      <c r="CX307">
        <f>ROUND(Y307*Source!I297,7)</f>
        <v>0.81</v>
      </c>
      <c r="CY307">
        <f t="shared" si="104"/>
        <v>644.29999999999995</v>
      </c>
      <c r="CZ307">
        <f t="shared" si="105"/>
        <v>644.29999999999995</v>
      </c>
      <c r="DA307">
        <f t="shared" si="106"/>
        <v>1</v>
      </c>
      <c r="DB307">
        <f t="shared" si="110"/>
        <v>521.88</v>
      </c>
      <c r="DC307">
        <f t="shared" si="111"/>
        <v>0</v>
      </c>
      <c r="DD307" t="s">
        <v>3</v>
      </c>
      <c r="DE307" t="s">
        <v>3</v>
      </c>
      <c r="DF307">
        <f t="shared" si="107"/>
        <v>0</v>
      </c>
      <c r="DG307">
        <f t="shared" si="103"/>
        <v>0</v>
      </c>
      <c r="DH307">
        <f t="shared" si="90"/>
        <v>0</v>
      </c>
      <c r="DI307">
        <f t="shared" si="100"/>
        <v>521.88</v>
      </c>
      <c r="DJ307">
        <f t="shared" si="108"/>
        <v>521.88</v>
      </c>
      <c r="DK307">
        <v>1</v>
      </c>
      <c r="DL307" t="s">
        <v>3</v>
      </c>
      <c r="DM307">
        <v>0</v>
      </c>
      <c r="DN307" t="s">
        <v>3</v>
      </c>
      <c r="DO307">
        <v>0</v>
      </c>
    </row>
    <row r="308" spans="1:119" x14ac:dyDescent="0.2">
      <c r="A308">
        <f>ROW(Source!A298)</f>
        <v>298</v>
      </c>
      <c r="B308">
        <v>65170852</v>
      </c>
      <c r="C308">
        <v>65172033</v>
      </c>
      <c r="D308">
        <v>56217415</v>
      </c>
      <c r="E308">
        <v>108</v>
      </c>
      <c r="F308">
        <v>1</v>
      </c>
      <c r="G308">
        <v>1</v>
      </c>
      <c r="H308">
        <v>1</v>
      </c>
      <c r="I308" t="s">
        <v>702</v>
      </c>
      <c r="J308" t="s">
        <v>3</v>
      </c>
      <c r="K308" t="s">
        <v>703</v>
      </c>
      <c r="L308">
        <v>1369</v>
      </c>
      <c r="N308">
        <v>1013</v>
      </c>
      <c r="O308" t="s">
        <v>699</v>
      </c>
      <c r="P308" t="s">
        <v>699</v>
      </c>
      <c r="Q308">
        <v>1</v>
      </c>
      <c r="W308">
        <v>0</v>
      </c>
      <c r="X308">
        <v>-512803540</v>
      </c>
      <c r="Y308">
        <f t="shared" si="109"/>
        <v>3.6</v>
      </c>
      <c r="AA308">
        <v>0</v>
      </c>
      <c r="AB308">
        <v>0</v>
      </c>
      <c r="AC308">
        <v>0</v>
      </c>
      <c r="AD308">
        <v>490.55</v>
      </c>
      <c r="AE308">
        <v>0</v>
      </c>
      <c r="AF308">
        <v>0</v>
      </c>
      <c r="AG308">
        <v>0</v>
      </c>
      <c r="AH308">
        <v>490.55</v>
      </c>
      <c r="AI308">
        <v>1</v>
      </c>
      <c r="AJ308">
        <v>1</v>
      </c>
      <c r="AK308">
        <v>1</v>
      </c>
      <c r="AL308">
        <v>1</v>
      </c>
      <c r="AM308">
        <v>-2</v>
      </c>
      <c r="AN308">
        <v>0</v>
      </c>
      <c r="AO308">
        <v>0</v>
      </c>
      <c r="AP308">
        <v>0</v>
      </c>
      <c r="AQ308">
        <v>1</v>
      </c>
      <c r="AR308">
        <v>0</v>
      </c>
      <c r="AS308" t="s">
        <v>3</v>
      </c>
      <c r="AT308">
        <v>3.6</v>
      </c>
      <c r="AU308" t="s">
        <v>3</v>
      </c>
      <c r="AV308">
        <v>1</v>
      </c>
      <c r="AW308">
        <v>2</v>
      </c>
      <c r="AX308">
        <v>65172036</v>
      </c>
      <c r="AY308">
        <v>1</v>
      </c>
      <c r="AZ308">
        <v>0</v>
      </c>
      <c r="BA308">
        <v>317</v>
      </c>
      <c r="BB308">
        <v>1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1765.98</v>
      </c>
      <c r="BN308">
        <v>3.6</v>
      </c>
      <c r="BO308">
        <v>0</v>
      </c>
      <c r="BP308">
        <v>1</v>
      </c>
      <c r="BQ308">
        <v>0</v>
      </c>
      <c r="BR308">
        <v>0</v>
      </c>
      <c r="BS308">
        <v>0</v>
      </c>
      <c r="BT308">
        <v>1765.98</v>
      </c>
      <c r="BU308">
        <v>3.6</v>
      </c>
      <c r="BV308">
        <v>0</v>
      </c>
      <c r="BW308">
        <v>1</v>
      </c>
      <c r="CU308">
        <f>ROUND(AT308*Source!I298*AH308*AL308,2)</f>
        <v>3531.96</v>
      </c>
      <c r="CV308">
        <f>ROUND(Y308*Source!I298,7)</f>
        <v>7.2</v>
      </c>
      <c r="CW308">
        <v>0</v>
      </c>
      <c r="CX308">
        <f>ROUND(Y308*Source!I298,7)</f>
        <v>7.2</v>
      </c>
      <c r="CY308">
        <f t="shared" si="104"/>
        <v>490.55</v>
      </c>
      <c r="CZ308">
        <f t="shared" si="105"/>
        <v>490.55</v>
      </c>
      <c r="DA308">
        <f t="shared" si="106"/>
        <v>1</v>
      </c>
      <c r="DB308">
        <f t="shared" si="110"/>
        <v>1765.98</v>
      </c>
      <c r="DC308">
        <f t="shared" si="111"/>
        <v>0</v>
      </c>
      <c r="DD308" t="s">
        <v>3</v>
      </c>
      <c r="DE308" t="s">
        <v>3</v>
      </c>
      <c r="DF308">
        <f t="shared" si="107"/>
        <v>0</v>
      </c>
      <c r="DG308">
        <f t="shared" si="103"/>
        <v>0</v>
      </c>
      <c r="DH308">
        <f t="shared" si="90"/>
        <v>0</v>
      </c>
      <c r="DI308">
        <f t="shared" si="100"/>
        <v>3531.96</v>
      </c>
      <c r="DJ308">
        <f t="shared" si="108"/>
        <v>3531.96</v>
      </c>
      <c r="DK308">
        <v>1</v>
      </c>
      <c r="DL308" t="s">
        <v>3</v>
      </c>
      <c r="DM308">
        <v>0</v>
      </c>
      <c r="DN308" t="s">
        <v>3</v>
      </c>
      <c r="DO308">
        <v>0</v>
      </c>
    </row>
    <row r="309" spans="1:119" x14ac:dyDescent="0.2">
      <c r="A309">
        <f>ROW(Source!A298)</f>
        <v>298</v>
      </c>
      <c r="B309">
        <v>65170852</v>
      </c>
      <c r="C309">
        <v>65172033</v>
      </c>
      <c r="D309">
        <v>56217437</v>
      </c>
      <c r="E309">
        <v>108</v>
      </c>
      <c r="F309">
        <v>1</v>
      </c>
      <c r="G309">
        <v>1</v>
      </c>
      <c r="H309">
        <v>1</v>
      </c>
      <c r="I309" t="s">
        <v>761</v>
      </c>
      <c r="J309" t="s">
        <v>3</v>
      </c>
      <c r="K309" t="s">
        <v>762</v>
      </c>
      <c r="L309">
        <v>1369</v>
      </c>
      <c r="N309">
        <v>1013</v>
      </c>
      <c r="O309" t="s">
        <v>699</v>
      </c>
      <c r="P309" t="s">
        <v>699</v>
      </c>
      <c r="Q309">
        <v>1</v>
      </c>
      <c r="W309">
        <v>0</v>
      </c>
      <c r="X309">
        <v>-1275334932</v>
      </c>
      <c r="Y309">
        <f t="shared" si="109"/>
        <v>3.6</v>
      </c>
      <c r="AA309">
        <v>0</v>
      </c>
      <c r="AB309">
        <v>0</v>
      </c>
      <c r="AC309">
        <v>0</v>
      </c>
      <c r="AD309">
        <v>468.58</v>
      </c>
      <c r="AE309">
        <v>0</v>
      </c>
      <c r="AF309">
        <v>0</v>
      </c>
      <c r="AG309">
        <v>0</v>
      </c>
      <c r="AH309">
        <v>468.58</v>
      </c>
      <c r="AI309">
        <v>1</v>
      </c>
      <c r="AJ309">
        <v>1</v>
      </c>
      <c r="AK309">
        <v>1</v>
      </c>
      <c r="AL309">
        <v>1</v>
      </c>
      <c r="AM309">
        <v>-2</v>
      </c>
      <c r="AN309">
        <v>0</v>
      </c>
      <c r="AO309">
        <v>0</v>
      </c>
      <c r="AP309">
        <v>0</v>
      </c>
      <c r="AQ309">
        <v>1</v>
      </c>
      <c r="AR309">
        <v>0</v>
      </c>
      <c r="AS309" t="s">
        <v>3</v>
      </c>
      <c r="AT309">
        <v>3.6</v>
      </c>
      <c r="AU309" t="s">
        <v>3</v>
      </c>
      <c r="AV309">
        <v>1</v>
      </c>
      <c r="AW309">
        <v>2</v>
      </c>
      <c r="AX309">
        <v>65172037</v>
      </c>
      <c r="AY309">
        <v>1</v>
      </c>
      <c r="AZ309">
        <v>0</v>
      </c>
      <c r="BA309">
        <v>318</v>
      </c>
      <c r="BB309">
        <v>1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1686.8879999999999</v>
      </c>
      <c r="BN309">
        <v>3.6</v>
      </c>
      <c r="BO309">
        <v>0</v>
      </c>
      <c r="BP309">
        <v>1</v>
      </c>
      <c r="BQ309">
        <v>0</v>
      </c>
      <c r="BR309">
        <v>0</v>
      </c>
      <c r="BS309">
        <v>0</v>
      </c>
      <c r="BT309">
        <v>1686.8879999999999</v>
      </c>
      <c r="BU309">
        <v>3.6</v>
      </c>
      <c r="BV309">
        <v>0</v>
      </c>
      <c r="BW309">
        <v>1</v>
      </c>
      <c r="CU309">
        <f>ROUND(AT309*Source!I298*AH309*AL309,2)</f>
        <v>3373.78</v>
      </c>
      <c r="CV309">
        <f>ROUND(Y309*Source!I298,7)</f>
        <v>7.2</v>
      </c>
      <c r="CW309">
        <v>0</v>
      </c>
      <c r="CX309">
        <f>ROUND(Y309*Source!I298,7)</f>
        <v>7.2</v>
      </c>
      <c r="CY309">
        <f t="shared" si="104"/>
        <v>468.58</v>
      </c>
      <c r="CZ309">
        <f t="shared" si="105"/>
        <v>468.58</v>
      </c>
      <c r="DA309">
        <f t="shared" si="106"/>
        <v>1</v>
      </c>
      <c r="DB309">
        <f t="shared" si="110"/>
        <v>1686.89</v>
      </c>
      <c r="DC309">
        <f t="shared" si="111"/>
        <v>0</v>
      </c>
      <c r="DD309" t="s">
        <v>3</v>
      </c>
      <c r="DE309" t="s">
        <v>3</v>
      </c>
      <c r="DF309">
        <f t="shared" si="107"/>
        <v>0</v>
      </c>
      <c r="DG309">
        <f t="shared" si="103"/>
        <v>0</v>
      </c>
      <c r="DH309">
        <f t="shared" si="90"/>
        <v>0</v>
      </c>
      <c r="DI309">
        <f t="shared" si="100"/>
        <v>3373.78</v>
      </c>
      <c r="DJ309">
        <f t="shared" si="108"/>
        <v>3373.78</v>
      </c>
      <c r="DK309">
        <v>1</v>
      </c>
      <c r="DL309" t="s">
        <v>3</v>
      </c>
      <c r="DM309">
        <v>0</v>
      </c>
      <c r="DN309" t="s">
        <v>3</v>
      </c>
      <c r="DO309">
        <v>0</v>
      </c>
    </row>
    <row r="310" spans="1:119" x14ac:dyDescent="0.2">
      <c r="A310">
        <f>ROW(Source!A299)</f>
        <v>299</v>
      </c>
      <c r="B310">
        <v>65170852</v>
      </c>
      <c r="C310">
        <v>65172038</v>
      </c>
      <c r="D310">
        <v>56217421</v>
      </c>
      <c r="E310">
        <v>108</v>
      </c>
      <c r="F310">
        <v>1</v>
      </c>
      <c r="G310">
        <v>1</v>
      </c>
      <c r="H310">
        <v>1</v>
      </c>
      <c r="I310" t="s">
        <v>757</v>
      </c>
      <c r="J310" t="s">
        <v>3</v>
      </c>
      <c r="K310" t="s">
        <v>758</v>
      </c>
      <c r="L310">
        <v>1369</v>
      </c>
      <c r="N310">
        <v>1013</v>
      </c>
      <c r="O310" t="s">
        <v>699</v>
      </c>
      <c r="P310" t="s">
        <v>699</v>
      </c>
      <c r="Q310">
        <v>1</v>
      </c>
      <c r="W310">
        <v>0</v>
      </c>
      <c r="X310">
        <v>286205319</v>
      </c>
      <c r="Y310">
        <f t="shared" si="109"/>
        <v>0.5</v>
      </c>
      <c r="AA310">
        <v>0</v>
      </c>
      <c r="AB310">
        <v>0</v>
      </c>
      <c r="AC310">
        <v>0</v>
      </c>
      <c r="AD310">
        <v>658.94</v>
      </c>
      <c r="AE310">
        <v>0</v>
      </c>
      <c r="AF310">
        <v>0</v>
      </c>
      <c r="AG310">
        <v>0</v>
      </c>
      <c r="AH310">
        <v>658.94</v>
      </c>
      <c r="AI310">
        <v>1</v>
      </c>
      <c r="AJ310">
        <v>1</v>
      </c>
      <c r="AK310">
        <v>1</v>
      </c>
      <c r="AL310">
        <v>1</v>
      </c>
      <c r="AM310">
        <v>-2</v>
      </c>
      <c r="AN310">
        <v>0</v>
      </c>
      <c r="AO310">
        <v>0</v>
      </c>
      <c r="AP310">
        <v>0</v>
      </c>
      <c r="AQ310">
        <v>1</v>
      </c>
      <c r="AR310">
        <v>0</v>
      </c>
      <c r="AS310" t="s">
        <v>3</v>
      </c>
      <c r="AT310">
        <v>0.5</v>
      </c>
      <c r="AU310" t="s">
        <v>3</v>
      </c>
      <c r="AV310">
        <v>1</v>
      </c>
      <c r="AW310">
        <v>2</v>
      </c>
      <c r="AX310">
        <v>65172041</v>
      </c>
      <c r="AY310">
        <v>1</v>
      </c>
      <c r="AZ310">
        <v>0</v>
      </c>
      <c r="BA310">
        <v>319</v>
      </c>
      <c r="BB310">
        <v>1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329.47</v>
      </c>
      <c r="BN310">
        <v>0.5</v>
      </c>
      <c r="BO310">
        <v>0</v>
      </c>
      <c r="BP310">
        <v>1</v>
      </c>
      <c r="BQ310">
        <v>0</v>
      </c>
      <c r="BR310">
        <v>0</v>
      </c>
      <c r="BS310">
        <v>0</v>
      </c>
      <c r="BT310">
        <v>329.47</v>
      </c>
      <c r="BU310">
        <v>0.5</v>
      </c>
      <c r="BV310">
        <v>0</v>
      </c>
      <c r="BW310">
        <v>1</v>
      </c>
      <c r="CU310">
        <f>ROUND(AT310*Source!I299*AH310*AL310,2)</f>
        <v>1647.35</v>
      </c>
      <c r="CV310">
        <f>ROUND(Y310*Source!I299,7)</f>
        <v>2.5</v>
      </c>
      <c r="CW310">
        <v>0</v>
      </c>
      <c r="CX310">
        <f>ROUND(Y310*Source!I299,7)</f>
        <v>2.5</v>
      </c>
      <c r="CY310">
        <f t="shared" si="104"/>
        <v>658.94</v>
      </c>
      <c r="CZ310">
        <f t="shared" si="105"/>
        <v>658.94</v>
      </c>
      <c r="DA310">
        <f t="shared" si="106"/>
        <v>1</v>
      </c>
      <c r="DB310">
        <f t="shared" si="110"/>
        <v>329.47</v>
      </c>
      <c r="DC310">
        <f t="shared" si="111"/>
        <v>0</v>
      </c>
      <c r="DD310" t="s">
        <v>3</v>
      </c>
      <c r="DE310" t="s">
        <v>3</v>
      </c>
      <c r="DF310">
        <f t="shared" si="107"/>
        <v>0</v>
      </c>
      <c r="DG310">
        <f t="shared" si="103"/>
        <v>0</v>
      </c>
      <c r="DH310">
        <f t="shared" si="90"/>
        <v>0</v>
      </c>
      <c r="DI310">
        <f t="shared" si="100"/>
        <v>1647.35</v>
      </c>
      <c r="DJ310">
        <f t="shared" si="108"/>
        <v>1647.35</v>
      </c>
      <c r="DK310">
        <v>1</v>
      </c>
      <c r="DL310" t="s">
        <v>3</v>
      </c>
      <c r="DM310">
        <v>0</v>
      </c>
      <c r="DN310" t="s">
        <v>3</v>
      </c>
      <c r="DO310">
        <v>0</v>
      </c>
    </row>
    <row r="311" spans="1:119" x14ac:dyDescent="0.2">
      <c r="A311">
        <f>ROW(Source!A299)</f>
        <v>299</v>
      </c>
      <c r="B311">
        <v>65170852</v>
      </c>
      <c r="C311">
        <v>65172038</v>
      </c>
      <c r="D311">
        <v>56217452</v>
      </c>
      <c r="E311">
        <v>108</v>
      </c>
      <c r="F311">
        <v>1</v>
      </c>
      <c r="G311">
        <v>1</v>
      </c>
      <c r="H311">
        <v>1</v>
      </c>
      <c r="I311" t="s">
        <v>759</v>
      </c>
      <c r="J311" t="s">
        <v>3</v>
      </c>
      <c r="K311" t="s">
        <v>760</v>
      </c>
      <c r="L311">
        <v>1369</v>
      </c>
      <c r="N311">
        <v>1013</v>
      </c>
      <c r="O311" t="s">
        <v>699</v>
      </c>
      <c r="P311" t="s">
        <v>699</v>
      </c>
      <c r="Q311">
        <v>1</v>
      </c>
      <c r="W311">
        <v>0</v>
      </c>
      <c r="X311">
        <v>126826561</v>
      </c>
      <c r="Y311">
        <f t="shared" si="109"/>
        <v>0.5</v>
      </c>
      <c r="AA311">
        <v>0</v>
      </c>
      <c r="AB311">
        <v>0</v>
      </c>
      <c r="AC311">
        <v>0</v>
      </c>
      <c r="AD311">
        <v>644.29999999999995</v>
      </c>
      <c r="AE311">
        <v>0</v>
      </c>
      <c r="AF311">
        <v>0</v>
      </c>
      <c r="AG311">
        <v>0</v>
      </c>
      <c r="AH311">
        <v>644.29999999999995</v>
      </c>
      <c r="AI311">
        <v>1</v>
      </c>
      <c r="AJ311">
        <v>1</v>
      </c>
      <c r="AK311">
        <v>1</v>
      </c>
      <c r="AL311">
        <v>1</v>
      </c>
      <c r="AM311">
        <v>-2</v>
      </c>
      <c r="AN311">
        <v>0</v>
      </c>
      <c r="AO311">
        <v>0</v>
      </c>
      <c r="AP311">
        <v>0</v>
      </c>
      <c r="AQ311">
        <v>1</v>
      </c>
      <c r="AR311">
        <v>0</v>
      </c>
      <c r="AS311" t="s">
        <v>3</v>
      </c>
      <c r="AT311">
        <v>0.5</v>
      </c>
      <c r="AU311" t="s">
        <v>3</v>
      </c>
      <c r="AV311">
        <v>1</v>
      </c>
      <c r="AW311">
        <v>2</v>
      </c>
      <c r="AX311">
        <v>65172042</v>
      </c>
      <c r="AY311">
        <v>1</v>
      </c>
      <c r="AZ311">
        <v>0</v>
      </c>
      <c r="BA311">
        <v>320</v>
      </c>
      <c r="BB311">
        <v>1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322.14999999999998</v>
      </c>
      <c r="BN311">
        <v>0.5</v>
      </c>
      <c r="BO311">
        <v>0</v>
      </c>
      <c r="BP311">
        <v>1</v>
      </c>
      <c r="BQ311">
        <v>0</v>
      </c>
      <c r="BR311">
        <v>0</v>
      </c>
      <c r="BS311">
        <v>0</v>
      </c>
      <c r="BT311">
        <v>322.14999999999998</v>
      </c>
      <c r="BU311">
        <v>0.5</v>
      </c>
      <c r="BV311">
        <v>0</v>
      </c>
      <c r="BW311">
        <v>1</v>
      </c>
      <c r="CU311">
        <f>ROUND(AT311*Source!I299*AH311*AL311,2)</f>
        <v>1610.75</v>
      </c>
      <c r="CV311">
        <f>ROUND(Y311*Source!I299,7)</f>
        <v>2.5</v>
      </c>
      <c r="CW311">
        <v>0</v>
      </c>
      <c r="CX311">
        <f>ROUND(Y311*Source!I299,7)</f>
        <v>2.5</v>
      </c>
      <c r="CY311">
        <f t="shared" si="104"/>
        <v>644.29999999999995</v>
      </c>
      <c r="CZ311">
        <f t="shared" si="105"/>
        <v>644.29999999999995</v>
      </c>
      <c r="DA311">
        <f t="shared" si="106"/>
        <v>1</v>
      </c>
      <c r="DB311">
        <f t="shared" si="110"/>
        <v>322.14999999999998</v>
      </c>
      <c r="DC311">
        <f t="shared" si="111"/>
        <v>0</v>
      </c>
      <c r="DD311" t="s">
        <v>3</v>
      </c>
      <c r="DE311" t="s">
        <v>3</v>
      </c>
      <c r="DF311">
        <f t="shared" si="107"/>
        <v>0</v>
      </c>
      <c r="DG311">
        <f t="shared" si="103"/>
        <v>0</v>
      </c>
      <c r="DH311">
        <f t="shared" si="90"/>
        <v>0</v>
      </c>
      <c r="DI311">
        <f t="shared" si="100"/>
        <v>1610.75</v>
      </c>
      <c r="DJ311">
        <f t="shared" si="108"/>
        <v>1610.75</v>
      </c>
      <c r="DK311">
        <v>1</v>
      </c>
      <c r="DL311" t="s">
        <v>3</v>
      </c>
      <c r="DM311">
        <v>0</v>
      </c>
      <c r="DN311" t="s">
        <v>3</v>
      </c>
      <c r="DO311">
        <v>0</v>
      </c>
    </row>
    <row r="312" spans="1:119" x14ac:dyDescent="0.2">
      <c r="A312">
        <f>ROW(Source!A300)</f>
        <v>300</v>
      </c>
      <c r="B312">
        <v>65170852</v>
      </c>
      <c r="C312">
        <v>65172043</v>
      </c>
      <c r="D312">
        <v>56217437</v>
      </c>
      <c r="E312">
        <v>108</v>
      </c>
      <c r="F312">
        <v>1</v>
      </c>
      <c r="G312">
        <v>1</v>
      </c>
      <c r="H312">
        <v>1</v>
      </c>
      <c r="I312" t="s">
        <v>761</v>
      </c>
      <c r="J312" t="s">
        <v>3</v>
      </c>
      <c r="K312" t="s">
        <v>762</v>
      </c>
      <c r="L312">
        <v>1369</v>
      </c>
      <c r="N312">
        <v>1013</v>
      </c>
      <c r="O312" t="s">
        <v>699</v>
      </c>
      <c r="P312" t="s">
        <v>699</v>
      </c>
      <c r="Q312">
        <v>1</v>
      </c>
      <c r="W312">
        <v>0</v>
      </c>
      <c r="X312">
        <v>-1275334932</v>
      </c>
      <c r="Y312">
        <f t="shared" si="109"/>
        <v>0.52</v>
      </c>
      <c r="AA312">
        <v>0</v>
      </c>
      <c r="AB312">
        <v>0</v>
      </c>
      <c r="AC312">
        <v>0</v>
      </c>
      <c r="AD312">
        <v>468.58</v>
      </c>
      <c r="AE312">
        <v>0</v>
      </c>
      <c r="AF312">
        <v>0</v>
      </c>
      <c r="AG312">
        <v>0</v>
      </c>
      <c r="AH312">
        <v>468.58</v>
      </c>
      <c r="AI312">
        <v>1</v>
      </c>
      <c r="AJ312">
        <v>1</v>
      </c>
      <c r="AK312">
        <v>1</v>
      </c>
      <c r="AL312">
        <v>1</v>
      </c>
      <c r="AM312">
        <v>-2</v>
      </c>
      <c r="AN312">
        <v>0</v>
      </c>
      <c r="AO312">
        <v>0</v>
      </c>
      <c r="AP312">
        <v>0</v>
      </c>
      <c r="AQ312">
        <v>1</v>
      </c>
      <c r="AR312">
        <v>0</v>
      </c>
      <c r="AS312" t="s">
        <v>3</v>
      </c>
      <c r="AT312">
        <v>0.52</v>
      </c>
      <c r="AU312" t="s">
        <v>3</v>
      </c>
      <c r="AV312">
        <v>1</v>
      </c>
      <c r="AW312">
        <v>2</v>
      </c>
      <c r="AX312">
        <v>65172046</v>
      </c>
      <c r="AY312">
        <v>1</v>
      </c>
      <c r="AZ312">
        <v>0</v>
      </c>
      <c r="BA312">
        <v>321</v>
      </c>
      <c r="BB312">
        <v>1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243.66159999999999</v>
      </c>
      <c r="BN312">
        <v>0.52</v>
      </c>
      <c r="BO312">
        <v>0</v>
      </c>
      <c r="BP312">
        <v>1</v>
      </c>
      <c r="BQ312">
        <v>0</v>
      </c>
      <c r="BR312">
        <v>0</v>
      </c>
      <c r="BS312">
        <v>0</v>
      </c>
      <c r="BT312">
        <v>243.66159999999999</v>
      </c>
      <c r="BU312">
        <v>0.52</v>
      </c>
      <c r="BV312">
        <v>0</v>
      </c>
      <c r="BW312">
        <v>1</v>
      </c>
      <c r="CU312">
        <f>ROUND(AT312*Source!I300*AH312*AL312,2)</f>
        <v>730.98</v>
      </c>
      <c r="CV312">
        <f>ROUND(Y312*Source!I300,7)</f>
        <v>1.56</v>
      </c>
      <c r="CW312">
        <v>0</v>
      </c>
      <c r="CX312">
        <f>ROUND(Y312*Source!I300,7)</f>
        <v>1.56</v>
      </c>
      <c r="CY312">
        <f t="shared" si="104"/>
        <v>468.58</v>
      </c>
      <c r="CZ312">
        <f t="shared" si="105"/>
        <v>468.58</v>
      </c>
      <c r="DA312">
        <f t="shared" si="106"/>
        <v>1</v>
      </c>
      <c r="DB312">
        <f t="shared" si="110"/>
        <v>243.66</v>
      </c>
      <c r="DC312">
        <f t="shared" si="111"/>
        <v>0</v>
      </c>
      <c r="DD312" t="s">
        <v>3</v>
      </c>
      <c r="DE312" t="s">
        <v>3</v>
      </c>
      <c r="DF312">
        <f t="shared" si="107"/>
        <v>0</v>
      </c>
      <c r="DG312">
        <f t="shared" si="103"/>
        <v>0</v>
      </c>
      <c r="DH312">
        <f t="shared" si="90"/>
        <v>0</v>
      </c>
      <c r="DI312">
        <f t="shared" si="100"/>
        <v>730.98</v>
      </c>
      <c r="DJ312">
        <f t="shared" si="108"/>
        <v>730.98</v>
      </c>
      <c r="DK312">
        <v>1</v>
      </c>
      <c r="DL312" t="s">
        <v>3</v>
      </c>
      <c r="DM312">
        <v>0</v>
      </c>
      <c r="DN312" t="s">
        <v>3</v>
      </c>
      <c r="DO312">
        <v>0</v>
      </c>
    </row>
    <row r="313" spans="1:119" x14ac:dyDescent="0.2">
      <c r="A313">
        <f>ROW(Source!A300)</f>
        <v>300</v>
      </c>
      <c r="B313">
        <v>65170852</v>
      </c>
      <c r="C313">
        <v>65172043</v>
      </c>
      <c r="D313">
        <v>56217448</v>
      </c>
      <c r="E313">
        <v>108</v>
      </c>
      <c r="F313">
        <v>1</v>
      </c>
      <c r="G313">
        <v>1</v>
      </c>
      <c r="H313">
        <v>1</v>
      </c>
      <c r="I313" t="s">
        <v>765</v>
      </c>
      <c r="J313" t="s">
        <v>3</v>
      </c>
      <c r="K313" t="s">
        <v>766</v>
      </c>
      <c r="L313">
        <v>1369</v>
      </c>
      <c r="N313">
        <v>1013</v>
      </c>
      <c r="O313" t="s">
        <v>699</v>
      </c>
      <c r="P313" t="s">
        <v>699</v>
      </c>
      <c r="Q313">
        <v>1</v>
      </c>
      <c r="W313">
        <v>0</v>
      </c>
      <c r="X313">
        <v>-2140504649</v>
      </c>
      <c r="Y313">
        <f t="shared" si="109"/>
        <v>0.78</v>
      </c>
      <c r="AA313">
        <v>0</v>
      </c>
      <c r="AB313">
        <v>0</v>
      </c>
      <c r="AC313">
        <v>0</v>
      </c>
      <c r="AD313">
        <v>717.52</v>
      </c>
      <c r="AE313">
        <v>0</v>
      </c>
      <c r="AF313">
        <v>0</v>
      </c>
      <c r="AG313">
        <v>0</v>
      </c>
      <c r="AH313">
        <v>717.52</v>
      </c>
      <c r="AI313">
        <v>1</v>
      </c>
      <c r="AJ313">
        <v>1</v>
      </c>
      <c r="AK313">
        <v>1</v>
      </c>
      <c r="AL313">
        <v>1</v>
      </c>
      <c r="AM313">
        <v>-2</v>
      </c>
      <c r="AN313">
        <v>0</v>
      </c>
      <c r="AO313">
        <v>0</v>
      </c>
      <c r="AP313">
        <v>0</v>
      </c>
      <c r="AQ313">
        <v>1</v>
      </c>
      <c r="AR313">
        <v>0</v>
      </c>
      <c r="AS313" t="s">
        <v>3</v>
      </c>
      <c r="AT313">
        <v>0.78</v>
      </c>
      <c r="AU313" t="s">
        <v>3</v>
      </c>
      <c r="AV313">
        <v>1</v>
      </c>
      <c r="AW313">
        <v>2</v>
      </c>
      <c r="AX313">
        <v>65172047</v>
      </c>
      <c r="AY313">
        <v>1</v>
      </c>
      <c r="AZ313">
        <v>0</v>
      </c>
      <c r="BA313">
        <v>322</v>
      </c>
      <c r="BB313">
        <v>1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559.66560000000004</v>
      </c>
      <c r="BN313">
        <v>0.78</v>
      </c>
      <c r="BO313">
        <v>0</v>
      </c>
      <c r="BP313">
        <v>1</v>
      </c>
      <c r="BQ313">
        <v>0</v>
      </c>
      <c r="BR313">
        <v>0</v>
      </c>
      <c r="BS313">
        <v>0</v>
      </c>
      <c r="BT313">
        <v>559.66560000000004</v>
      </c>
      <c r="BU313">
        <v>0.78</v>
      </c>
      <c r="BV313">
        <v>0</v>
      </c>
      <c r="BW313">
        <v>1</v>
      </c>
      <c r="CU313">
        <f>ROUND(AT313*Source!I300*AH313*AL313,2)</f>
        <v>1679</v>
      </c>
      <c r="CV313">
        <f>ROUND(Y313*Source!I300,7)</f>
        <v>2.34</v>
      </c>
      <c r="CW313">
        <v>0</v>
      </c>
      <c r="CX313">
        <f>ROUND(Y313*Source!I300,7)</f>
        <v>2.34</v>
      </c>
      <c r="CY313">
        <f t="shared" si="104"/>
        <v>717.52</v>
      </c>
      <c r="CZ313">
        <f t="shared" si="105"/>
        <v>717.52</v>
      </c>
      <c r="DA313">
        <f t="shared" si="106"/>
        <v>1</v>
      </c>
      <c r="DB313">
        <f t="shared" si="110"/>
        <v>559.66999999999996</v>
      </c>
      <c r="DC313">
        <f t="shared" si="111"/>
        <v>0</v>
      </c>
      <c r="DD313" t="s">
        <v>3</v>
      </c>
      <c r="DE313" t="s">
        <v>3</v>
      </c>
      <c r="DF313">
        <f t="shared" si="107"/>
        <v>0</v>
      </c>
      <c r="DG313">
        <f t="shared" si="103"/>
        <v>0</v>
      </c>
      <c r="DH313">
        <f t="shared" si="90"/>
        <v>0</v>
      </c>
      <c r="DI313">
        <f t="shared" si="100"/>
        <v>1679</v>
      </c>
      <c r="DJ313">
        <f t="shared" si="108"/>
        <v>1679</v>
      </c>
      <c r="DK313">
        <v>1</v>
      </c>
      <c r="DL313" t="s">
        <v>3</v>
      </c>
      <c r="DM313">
        <v>0</v>
      </c>
      <c r="DN313" t="s">
        <v>3</v>
      </c>
      <c r="DO313">
        <v>0</v>
      </c>
    </row>
    <row r="314" spans="1:119" x14ac:dyDescent="0.2">
      <c r="A314">
        <f>ROW(Source!A301)</f>
        <v>301</v>
      </c>
      <c r="B314">
        <v>65170852</v>
      </c>
      <c r="C314">
        <v>65172048</v>
      </c>
      <c r="D314">
        <v>56217418</v>
      </c>
      <c r="E314">
        <v>108</v>
      </c>
      <c r="F314">
        <v>1</v>
      </c>
      <c r="G314">
        <v>1</v>
      </c>
      <c r="H314">
        <v>1</v>
      </c>
      <c r="I314" t="s">
        <v>704</v>
      </c>
      <c r="J314" t="s">
        <v>3</v>
      </c>
      <c r="K314" t="s">
        <v>705</v>
      </c>
      <c r="L314">
        <v>1369</v>
      </c>
      <c r="N314">
        <v>1013</v>
      </c>
      <c r="O314" t="s">
        <v>699</v>
      </c>
      <c r="P314" t="s">
        <v>699</v>
      </c>
      <c r="Q314">
        <v>1</v>
      </c>
      <c r="W314">
        <v>0</v>
      </c>
      <c r="X314">
        <v>1518711480</v>
      </c>
      <c r="Y314">
        <f t="shared" si="109"/>
        <v>0.97</v>
      </c>
      <c r="AA314">
        <v>0</v>
      </c>
      <c r="AB314">
        <v>0</v>
      </c>
      <c r="AC314">
        <v>0</v>
      </c>
      <c r="AD314">
        <v>563.76</v>
      </c>
      <c r="AE314">
        <v>0</v>
      </c>
      <c r="AF314">
        <v>0</v>
      </c>
      <c r="AG314">
        <v>0</v>
      </c>
      <c r="AH314">
        <v>563.76</v>
      </c>
      <c r="AI314">
        <v>1</v>
      </c>
      <c r="AJ314">
        <v>1</v>
      </c>
      <c r="AK314">
        <v>1</v>
      </c>
      <c r="AL314">
        <v>1</v>
      </c>
      <c r="AM314">
        <v>-2</v>
      </c>
      <c r="AN314">
        <v>0</v>
      </c>
      <c r="AO314">
        <v>0</v>
      </c>
      <c r="AP314">
        <v>1</v>
      </c>
      <c r="AQ314">
        <v>1</v>
      </c>
      <c r="AR314">
        <v>0</v>
      </c>
      <c r="AS314" t="s">
        <v>3</v>
      </c>
      <c r="AT314">
        <v>0.97</v>
      </c>
      <c r="AU314" t="s">
        <v>3</v>
      </c>
      <c r="AV314">
        <v>1</v>
      </c>
      <c r="AW314">
        <v>2</v>
      </c>
      <c r="AX314">
        <v>65172051</v>
      </c>
      <c r="AY314">
        <v>1</v>
      </c>
      <c r="AZ314">
        <v>0</v>
      </c>
      <c r="BA314">
        <v>323</v>
      </c>
      <c r="BB314">
        <v>1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546.84719999999993</v>
      </c>
      <c r="BN314">
        <v>0.97</v>
      </c>
      <c r="BO314">
        <v>0</v>
      </c>
      <c r="BP314">
        <v>1</v>
      </c>
      <c r="BQ314">
        <v>0</v>
      </c>
      <c r="BR314">
        <v>0</v>
      </c>
      <c r="BS314">
        <v>0</v>
      </c>
      <c r="BT314">
        <v>546.84719999999993</v>
      </c>
      <c r="BU314">
        <v>0.97</v>
      </c>
      <c r="BV314">
        <v>0</v>
      </c>
      <c r="BW314">
        <v>1</v>
      </c>
      <c r="CU314">
        <f>ROUND(AT314*Source!I301*AH314*AL314,2)</f>
        <v>1640.54</v>
      </c>
      <c r="CV314">
        <f>ROUND(Y314*Source!I301,7)</f>
        <v>2.91</v>
      </c>
      <c r="CW314">
        <v>0</v>
      </c>
      <c r="CX314">
        <f>ROUND(Y314*Source!I301,7)</f>
        <v>2.91</v>
      </c>
      <c r="CY314">
        <f t="shared" si="104"/>
        <v>563.76</v>
      </c>
      <c r="CZ314">
        <f t="shared" si="105"/>
        <v>563.76</v>
      </c>
      <c r="DA314">
        <f t="shared" si="106"/>
        <v>1</v>
      </c>
      <c r="DB314">
        <f t="shared" si="110"/>
        <v>546.85</v>
      </c>
      <c r="DC314">
        <f t="shared" si="111"/>
        <v>0</v>
      </c>
      <c r="DD314" t="s">
        <v>3</v>
      </c>
      <c r="DE314" t="s">
        <v>3</v>
      </c>
      <c r="DF314">
        <f t="shared" si="107"/>
        <v>0</v>
      </c>
      <c r="DG314">
        <f t="shared" si="103"/>
        <v>0</v>
      </c>
      <c r="DH314">
        <f t="shared" si="90"/>
        <v>0</v>
      </c>
      <c r="DI314">
        <f t="shared" si="100"/>
        <v>1640.54</v>
      </c>
      <c r="DJ314">
        <f t="shared" si="108"/>
        <v>1640.54</v>
      </c>
      <c r="DK314">
        <v>1</v>
      </c>
      <c r="DL314" t="s">
        <v>3</v>
      </c>
      <c r="DM314">
        <v>0</v>
      </c>
      <c r="DN314" t="s">
        <v>3</v>
      </c>
      <c r="DO314">
        <v>0</v>
      </c>
    </row>
    <row r="315" spans="1:119" x14ac:dyDescent="0.2">
      <c r="A315">
        <f>ROW(Source!A301)</f>
        <v>301</v>
      </c>
      <c r="B315">
        <v>65170852</v>
      </c>
      <c r="C315">
        <v>65172048</v>
      </c>
      <c r="D315">
        <v>56217448</v>
      </c>
      <c r="E315">
        <v>108</v>
      </c>
      <c r="F315">
        <v>1</v>
      </c>
      <c r="G315">
        <v>1</v>
      </c>
      <c r="H315">
        <v>1</v>
      </c>
      <c r="I315" t="s">
        <v>765</v>
      </c>
      <c r="J315" t="s">
        <v>3</v>
      </c>
      <c r="K315" t="s">
        <v>766</v>
      </c>
      <c r="L315">
        <v>1369</v>
      </c>
      <c r="N315">
        <v>1013</v>
      </c>
      <c r="O315" t="s">
        <v>699</v>
      </c>
      <c r="P315" t="s">
        <v>699</v>
      </c>
      <c r="Q315">
        <v>1</v>
      </c>
      <c r="W315">
        <v>0</v>
      </c>
      <c r="X315">
        <v>-2140504649</v>
      </c>
      <c r="Y315">
        <f t="shared" si="109"/>
        <v>1.46</v>
      </c>
      <c r="AA315">
        <v>0</v>
      </c>
      <c r="AB315">
        <v>0</v>
      </c>
      <c r="AC315">
        <v>0</v>
      </c>
      <c r="AD315">
        <v>717.52</v>
      </c>
      <c r="AE315">
        <v>0</v>
      </c>
      <c r="AF315">
        <v>0</v>
      </c>
      <c r="AG315">
        <v>0</v>
      </c>
      <c r="AH315">
        <v>717.52</v>
      </c>
      <c r="AI315">
        <v>1</v>
      </c>
      <c r="AJ315">
        <v>1</v>
      </c>
      <c r="AK315">
        <v>1</v>
      </c>
      <c r="AL315">
        <v>1</v>
      </c>
      <c r="AM315">
        <v>-2</v>
      </c>
      <c r="AN315">
        <v>0</v>
      </c>
      <c r="AO315">
        <v>0</v>
      </c>
      <c r="AP315">
        <v>1</v>
      </c>
      <c r="AQ315">
        <v>1</v>
      </c>
      <c r="AR315">
        <v>0</v>
      </c>
      <c r="AS315" t="s">
        <v>3</v>
      </c>
      <c r="AT315">
        <v>1.46</v>
      </c>
      <c r="AU315" t="s">
        <v>3</v>
      </c>
      <c r="AV315">
        <v>1</v>
      </c>
      <c r="AW315">
        <v>2</v>
      </c>
      <c r="AX315">
        <v>65172052</v>
      </c>
      <c r="AY315">
        <v>1</v>
      </c>
      <c r="AZ315">
        <v>0</v>
      </c>
      <c r="BA315">
        <v>324</v>
      </c>
      <c r="BB315">
        <v>1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1047.5791999999999</v>
      </c>
      <c r="BN315">
        <v>1.46</v>
      </c>
      <c r="BO315">
        <v>0</v>
      </c>
      <c r="BP315">
        <v>1</v>
      </c>
      <c r="BQ315">
        <v>0</v>
      </c>
      <c r="BR315">
        <v>0</v>
      </c>
      <c r="BS315">
        <v>0</v>
      </c>
      <c r="BT315">
        <v>1047.5791999999999</v>
      </c>
      <c r="BU315">
        <v>1.46</v>
      </c>
      <c r="BV315">
        <v>0</v>
      </c>
      <c r="BW315">
        <v>1</v>
      </c>
      <c r="CU315">
        <f>ROUND(AT315*Source!I301*AH315*AL315,2)</f>
        <v>3142.74</v>
      </c>
      <c r="CV315">
        <f>ROUND(Y315*Source!I301,7)</f>
        <v>4.38</v>
      </c>
      <c r="CW315">
        <v>0</v>
      </c>
      <c r="CX315">
        <f>ROUND(Y315*Source!I301,7)</f>
        <v>4.38</v>
      </c>
      <c r="CY315">
        <f t="shared" si="104"/>
        <v>717.52</v>
      </c>
      <c r="CZ315">
        <f t="shared" si="105"/>
        <v>717.52</v>
      </c>
      <c r="DA315">
        <f t="shared" si="106"/>
        <v>1</v>
      </c>
      <c r="DB315">
        <f t="shared" si="110"/>
        <v>1047.58</v>
      </c>
      <c r="DC315">
        <f t="shared" si="111"/>
        <v>0</v>
      </c>
      <c r="DD315" t="s">
        <v>3</v>
      </c>
      <c r="DE315" t="s">
        <v>3</v>
      </c>
      <c r="DF315">
        <f t="shared" si="107"/>
        <v>0</v>
      </c>
      <c r="DG315">
        <f t="shared" si="103"/>
        <v>0</v>
      </c>
      <c r="DH315">
        <f t="shared" si="90"/>
        <v>0</v>
      </c>
      <c r="DI315">
        <f t="shared" si="100"/>
        <v>3142.74</v>
      </c>
      <c r="DJ315">
        <f t="shared" si="108"/>
        <v>3142.74</v>
      </c>
      <c r="DK315">
        <v>1</v>
      </c>
      <c r="DL315" t="s">
        <v>3</v>
      </c>
      <c r="DM315">
        <v>0</v>
      </c>
      <c r="DN315" t="s">
        <v>3</v>
      </c>
      <c r="DO315">
        <v>0</v>
      </c>
    </row>
    <row r="316" spans="1:119" x14ac:dyDescent="0.2">
      <c r="A316">
        <f>ROW(Source!A302)</f>
        <v>302</v>
      </c>
      <c r="B316">
        <v>65170852</v>
      </c>
      <c r="C316">
        <v>65172053</v>
      </c>
      <c r="D316">
        <v>56217418</v>
      </c>
      <c r="E316">
        <v>108</v>
      </c>
      <c r="F316">
        <v>1</v>
      </c>
      <c r="G316">
        <v>1</v>
      </c>
      <c r="H316">
        <v>1</v>
      </c>
      <c r="I316" t="s">
        <v>704</v>
      </c>
      <c r="J316" t="s">
        <v>3</v>
      </c>
      <c r="K316" t="s">
        <v>705</v>
      </c>
      <c r="L316">
        <v>1369</v>
      </c>
      <c r="N316">
        <v>1013</v>
      </c>
      <c r="O316" t="s">
        <v>699</v>
      </c>
      <c r="P316" t="s">
        <v>699</v>
      </c>
      <c r="Q316">
        <v>1</v>
      </c>
      <c r="W316">
        <v>0</v>
      </c>
      <c r="X316">
        <v>1518711480</v>
      </c>
      <c r="Y316">
        <f t="shared" si="109"/>
        <v>0.65</v>
      </c>
      <c r="AA316">
        <v>0</v>
      </c>
      <c r="AB316">
        <v>0</v>
      </c>
      <c r="AC316">
        <v>0</v>
      </c>
      <c r="AD316">
        <v>563.76</v>
      </c>
      <c r="AE316">
        <v>0</v>
      </c>
      <c r="AF316">
        <v>0</v>
      </c>
      <c r="AG316">
        <v>0</v>
      </c>
      <c r="AH316">
        <v>563.76</v>
      </c>
      <c r="AI316">
        <v>1</v>
      </c>
      <c r="AJ316">
        <v>1</v>
      </c>
      <c r="AK316">
        <v>1</v>
      </c>
      <c r="AL316">
        <v>1</v>
      </c>
      <c r="AM316">
        <v>-2</v>
      </c>
      <c r="AN316">
        <v>0</v>
      </c>
      <c r="AO316">
        <v>0</v>
      </c>
      <c r="AP316">
        <v>1</v>
      </c>
      <c r="AQ316">
        <v>1</v>
      </c>
      <c r="AR316">
        <v>0</v>
      </c>
      <c r="AS316" t="s">
        <v>3</v>
      </c>
      <c r="AT316">
        <v>0.65</v>
      </c>
      <c r="AU316" t="s">
        <v>3</v>
      </c>
      <c r="AV316">
        <v>1</v>
      </c>
      <c r="AW316">
        <v>2</v>
      </c>
      <c r="AX316">
        <v>65172056</v>
      </c>
      <c r="AY316">
        <v>1</v>
      </c>
      <c r="AZ316">
        <v>0</v>
      </c>
      <c r="BA316">
        <v>325</v>
      </c>
      <c r="BB316">
        <v>1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366.44400000000002</v>
      </c>
      <c r="BN316">
        <v>0.65</v>
      </c>
      <c r="BO316">
        <v>0</v>
      </c>
      <c r="BP316">
        <v>1</v>
      </c>
      <c r="BQ316">
        <v>0</v>
      </c>
      <c r="BR316">
        <v>0</v>
      </c>
      <c r="BS316">
        <v>0</v>
      </c>
      <c r="BT316">
        <v>366.44400000000002</v>
      </c>
      <c r="BU316">
        <v>0.65</v>
      </c>
      <c r="BV316">
        <v>0</v>
      </c>
      <c r="BW316">
        <v>1</v>
      </c>
      <c r="CU316">
        <f>ROUND(AT316*Source!I302*AH316*AL316,2)</f>
        <v>1099.33</v>
      </c>
      <c r="CV316">
        <f>ROUND(Y316*Source!I302,7)</f>
        <v>1.95</v>
      </c>
      <c r="CW316">
        <v>0</v>
      </c>
      <c r="CX316">
        <f>ROUND(Y316*Source!I302,7)</f>
        <v>1.95</v>
      </c>
      <c r="CY316">
        <f t="shared" si="104"/>
        <v>563.76</v>
      </c>
      <c r="CZ316">
        <f t="shared" si="105"/>
        <v>563.76</v>
      </c>
      <c r="DA316">
        <f t="shared" si="106"/>
        <v>1</v>
      </c>
      <c r="DB316">
        <f t="shared" si="110"/>
        <v>366.44</v>
      </c>
      <c r="DC316">
        <f t="shared" si="111"/>
        <v>0</v>
      </c>
      <c r="DD316" t="s">
        <v>3</v>
      </c>
      <c r="DE316" t="s">
        <v>3</v>
      </c>
      <c r="DF316">
        <f t="shared" si="107"/>
        <v>0</v>
      </c>
      <c r="DG316">
        <f t="shared" si="103"/>
        <v>0</v>
      </c>
      <c r="DH316">
        <f t="shared" si="90"/>
        <v>0</v>
      </c>
      <c r="DI316">
        <f t="shared" si="100"/>
        <v>1099.33</v>
      </c>
      <c r="DJ316">
        <f t="shared" si="108"/>
        <v>1099.33</v>
      </c>
      <c r="DK316">
        <v>1</v>
      </c>
      <c r="DL316" t="s">
        <v>3</v>
      </c>
      <c r="DM316">
        <v>0</v>
      </c>
      <c r="DN316" t="s">
        <v>3</v>
      </c>
      <c r="DO316">
        <v>0</v>
      </c>
    </row>
    <row r="317" spans="1:119" x14ac:dyDescent="0.2">
      <c r="A317">
        <f>ROW(Source!A302)</f>
        <v>302</v>
      </c>
      <c r="B317">
        <v>65170852</v>
      </c>
      <c r="C317">
        <v>65172053</v>
      </c>
      <c r="D317">
        <v>56217448</v>
      </c>
      <c r="E317">
        <v>108</v>
      </c>
      <c r="F317">
        <v>1</v>
      </c>
      <c r="G317">
        <v>1</v>
      </c>
      <c r="H317">
        <v>1</v>
      </c>
      <c r="I317" t="s">
        <v>765</v>
      </c>
      <c r="J317" t="s">
        <v>3</v>
      </c>
      <c r="K317" t="s">
        <v>766</v>
      </c>
      <c r="L317">
        <v>1369</v>
      </c>
      <c r="N317">
        <v>1013</v>
      </c>
      <c r="O317" t="s">
        <v>699</v>
      </c>
      <c r="P317" t="s">
        <v>699</v>
      </c>
      <c r="Q317">
        <v>1</v>
      </c>
      <c r="W317">
        <v>0</v>
      </c>
      <c r="X317">
        <v>-2140504649</v>
      </c>
      <c r="Y317">
        <f t="shared" si="109"/>
        <v>0.97</v>
      </c>
      <c r="AA317">
        <v>0</v>
      </c>
      <c r="AB317">
        <v>0</v>
      </c>
      <c r="AC317">
        <v>0</v>
      </c>
      <c r="AD317">
        <v>717.52</v>
      </c>
      <c r="AE317">
        <v>0</v>
      </c>
      <c r="AF317">
        <v>0</v>
      </c>
      <c r="AG317">
        <v>0</v>
      </c>
      <c r="AH317">
        <v>717.52</v>
      </c>
      <c r="AI317">
        <v>1</v>
      </c>
      <c r="AJ317">
        <v>1</v>
      </c>
      <c r="AK317">
        <v>1</v>
      </c>
      <c r="AL317">
        <v>1</v>
      </c>
      <c r="AM317">
        <v>-2</v>
      </c>
      <c r="AN317">
        <v>0</v>
      </c>
      <c r="AO317">
        <v>0</v>
      </c>
      <c r="AP317">
        <v>1</v>
      </c>
      <c r="AQ317">
        <v>1</v>
      </c>
      <c r="AR317">
        <v>0</v>
      </c>
      <c r="AS317" t="s">
        <v>3</v>
      </c>
      <c r="AT317">
        <v>0.97</v>
      </c>
      <c r="AU317" t="s">
        <v>3</v>
      </c>
      <c r="AV317">
        <v>1</v>
      </c>
      <c r="AW317">
        <v>2</v>
      </c>
      <c r="AX317">
        <v>65172057</v>
      </c>
      <c r="AY317">
        <v>1</v>
      </c>
      <c r="AZ317">
        <v>0</v>
      </c>
      <c r="BA317">
        <v>326</v>
      </c>
      <c r="BB317">
        <v>1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695.99439999999993</v>
      </c>
      <c r="BN317">
        <v>0.97</v>
      </c>
      <c r="BO317">
        <v>0</v>
      </c>
      <c r="BP317">
        <v>1</v>
      </c>
      <c r="BQ317">
        <v>0</v>
      </c>
      <c r="BR317">
        <v>0</v>
      </c>
      <c r="BS317">
        <v>0</v>
      </c>
      <c r="BT317">
        <v>695.99439999999993</v>
      </c>
      <c r="BU317">
        <v>0.97</v>
      </c>
      <c r="BV317">
        <v>0</v>
      </c>
      <c r="BW317">
        <v>1</v>
      </c>
      <c r="CU317">
        <f>ROUND(AT317*Source!I302*AH317*AL317,2)</f>
        <v>2087.98</v>
      </c>
      <c r="CV317">
        <f>ROUND(Y317*Source!I302,7)</f>
        <v>2.91</v>
      </c>
      <c r="CW317">
        <v>0</v>
      </c>
      <c r="CX317">
        <f>ROUND(Y317*Source!I302,7)</f>
        <v>2.91</v>
      </c>
      <c r="CY317">
        <f t="shared" si="104"/>
        <v>717.52</v>
      </c>
      <c r="CZ317">
        <f t="shared" si="105"/>
        <v>717.52</v>
      </c>
      <c r="DA317">
        <f t="shared" si="106"/>
        <v>1</v>
      </c>
      <c r="DB317">
        <f t="shared" si="110"/>
        <v>695.99</v>
      </c>
      <c r="DC317">
        <f t="shared" si="111"/>
        <v>0</v>
      </c>
      <c r="DD317" t="s">
        <v>3</v>
      </c>
      <c r="DE317" t="s">
        <v>3</v>
      </c>
      <c r="DF317">
        <f t="shared" si="107"/>
        <v>0</v>
      </c>
      <c r="DG317">
        <f t="shared" si="103"/>
        <v>0</v>
      </c>
      <c r="DH317">
        <f t="shared" si="90"/>
        <v>0</v>
      </c>
      <c r="DI317">
        <f t="shared" si="100"/>
        <v>2087.98</v>
      </c>
      <c r="DJ317">
        <f t="shared" si="108"/>
        <v>2087.98</v>
      </c>
      <c r="DK317">
        <v>1</v>
      </c>
      <c r="DL317" t="s">
        <v>3</v>
      </c>
      <c r="DM317">
        <v>0</v>
      </c>
      <c r="DN317" t="s">
        <v>3</v>
      </c>
      <c r="DO317">
        <v>0</v>
      </c>
    </row>
    <row r="318" spans="1:119" x14ac:dyDescent="0.2">
      <c r="A318">
        <f>ROW(Source!A303)</f>
        <v>303</v>
      </c>
      <c r="B318">
        <v>65170852</v>
      </c>
      <c r="C318">
        <v>65172058</v>
      </c>
      <c r="D318">
        <v>56217421</v>
      </c>
      <c r="E318">
        <v>108</v>
      </c>
      <c r="F318">
        <v>1</v>
      </c>
      <c r="G318">
        <v>1</v>
      </c>
      <c r="H318">
        <v>1</v>
      </c>
      <c r="I318" t="s">
        <v>757</v>
      </c>
      <c r="J318" t="s">
        <v>3</v>
      </c>
      <c r="K318" t="s">
        <v>758</v>
      </c>
      <c r="L318">
        <v>1369</v>
      </c>
      <c r="N318">
        <v>1013</v>
      </c>
      <c r="O318" t="s">
        <v>699</v>
      </c>
      <c r="P318" t="s">
        <v>699</v>
      </c>
      <c r="Q318">
        <v>1</v>
      </c>
      <c r="W318">
        <v>0</v>
      </c>
      <c r="X318">
        <v>286205319</v>
      </c>
      <c r="Y318">
        <f t="shared" si="109"/>
        <v>0.5</v>
      </c>
      <c r="AA318">
        <v>0</v>
      </c>
      <c r="AB318">
        <v>0</v>
      </c>
      <c r="AC318">
        <v>0</v>
      </c>
      <c r="AD318">
        <v>658.94</v>
      </c>
      <c r="AE318">
        <v>0</v>
      </c>
      <c r="AF318">
        <v>0</v>
      </c>
      <c r="AG318">
        <v>0</v>
      </c>
      <c r="AH318">
        <v>658.94</v>
      </c>
      <c r="AI318">
        <v>1</v>
      </c>
      <c r="AJ318">
        <v>1</v>
      </c>
      <c r="AK318">
        <v>1</v>
      </c>
      <c r="AL318">
        <v>1</v>
      </c>
      <c r="AM318">
        <v>-2</v>
      </c>
      <c r="AN318">
        <v>0</v>
      </c>
      <c r="AO318">
        <v>0</v>
      </c>
      <c r="AP318">
        <v>0</v>
      </c>
      <c r="AQ318">
        <v>1</v>
      </c>
      <c r="AR318">
        <v>0</v>
      </c>
      <c r="AS318" t="s">
        <v>3</v>
      </c>
      <c r="AT318">
        <v>0.5</v>
      </c>
      <c r="AU318" t="s">
        <v>3</v>
      </c>
      <c r="AV318">
        <v>1</v>
      </c>
      <c r="AW318">
        <v>2</v>
      </c>
      <c r="AX318">
        <v>65172061</v>
      </c>
      <c r="AY318">
        <v>1</v>
      </c>
      <c r="AZ318">
        <v>0</v>
      </c>
      <c r="BA318">
        <v>327</v>
      </c>
      <c r="BB318">
        <v>1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329.47</v>
      </c>
      <c r="BN318">
        <v>0.5</v>
      </c>
      <c r="BO318">
        <v>0</v>
      </c>
      <c r="BP318">
        <v>1</v>
      </c>
      <c r="BQ318">
        <v>0</v>
      </c>
      <c r="BR318">
        <v>0</v>
      </c>
      <c r="BS318">
        <v>0</v>
      </c>
      <c r="BT318">
        <v>329.47</v>
      </c>
      <c r="BU318">
        <v>0.5</v>
      </c>
      <c r="BV318">
        <v>0</v>
      </c>
      <c r="BW318">
        <v>1</v>
      </c>
      <c r="CU318">
        <f>ROUND(AT318*Source!I303*AH318*AL318,2)</f>
        <v>2635.76</v>
      </c>
      <c r="CV318">
        <f>ROUND(Y318*Source!I303,7)</f>
        <v>4</v>
      </c>
      <c r="CW318">
        <v>0</v>
      </c>
      <c r="CX318">
        <f>ROUND(Y318*Source!I303,7)</f>
        <v>4</v>
      </c>
      <c r="CY318">
        <f t="shared" si="104"/>
        <v>658.94</v>
      </c>
      <c r="CZ318">
        <f t="shared" si="105"/>
        <v>658.94</v>
      </c>
      <c r="DA318">
        <f t="shared" si="106"/>
        <v>1</v>
      </c>
      <c r="DB318">
        <f t="shared" si="110"/>
        <v>329.47</v>
      </c>
      <c r="DC318">
        <f t="shared" si="111"/>
        <v>0</v>
      </c>
      <c r="DD318" t="s">
        <v>3</v>
      </c>
      <c r="DE318" t="s">
        <v>3</v>
      </c>
      <c r="DF318">
        <f t="shared" si="107"/>
        <v>0</v>
      </c>
      <c r="DG318">
        <f t="shared" si="103"/>
        <v>0</v>
      </c>
      <c r="DH318">
        <f t="shared" si="90"/>
        <v>0</v>
      </c>
      <c r="DI318">
        <f t="shared" si="100"/>
        <v>2635.76</v>
      </c>
      <c r="DJ318">
        <f t="shared" si="108"/>
        <v>2635.76</v>
      </c>
      <c r="DK318">
        <v>1</v>
      </c>
      <c r="DL318" t="s">
        <v>3</v>
      </c>
      <c r="DM318">
        <v>0</v>
      </c>
      <c r="DN318" t="s">
        <v>3</v>
      </c>
      <c r="DO318">
        <v>0</v>
      </c>
    </row>
    <row r="319" spans="1:119" x14ac:dyDescent="0.2">
      <c r="A319">
        <f>ROW(Source!A303)</f>
        <v>303</v>
      </c>
      <c r="B319">
        <v>65170852</v>
      </c>
      <c r="C319">
        <v>65172058</v>
      </c>
      <c r="D319">
        <v>56217452</v>
      </c>
      <c r="E319">
        <v>108</v>
      </c>
      <c r="F319">
        <v>1</v>
      </c>
      <c r="G319">
        <v>1</v>
      </c>
      <c r="H319">
        <v>1</v>
      </c>
      <c r="I319" t="s">
        <v>759</v>
      </c>
      <c r="J319" t="s">
        <v>3</v>
      </c>
      <c r="K319" t="s">
        <v>760</v>
      </c>
      <c r="L319">
        <v>1369</v>
      </c>
      <c r="N319">
        <v>1013</v>
      </c>
      <c r="O319" t="s">
        <v>699</v>
      </c>
      <c r="P319" t="s">
        <v>699</v>
      </c>
      <c r="Q319">
        <v>1</v>
      </c>
      <c r="W319">
        <v>0</v>
      </c>
      <c r="X319">
        <v>126826561</v>
      </c>
      <c r="Y319">
        <f t="shared" si="109"/>
        <v>0.5</v>
      </c>
      <c r="AA319">
        <v>0</v>
      </c>
      <c r="AB319">
        <v>0</v>
      </c>
      <c r="AC319">
        <v>0</v>
      </c>
      <c r="AD319">
        <v>644.29999999999995</v>
      </c>
      <c r="AE319">
        <v>0</v>
      </c>
      <c r="AF319">
        <v>0</v>
      </c>
      <c r="AG319">
        <v>0</v>
      </c>
      <c r="AH319">
        <v>644.29999999999995</v>
      </c>
      <c r="AI319">
        <v>1</v>
      </c>
      <c r="AJ319">
        <v>1</v>
      </c>
      <c r="AK319">
        <v>1</v>
      </c>
      <c r="AL319">
        <v>1</v>
      </c>
      <c r="AM319">
        <v>-2</v>
      </c>
      <c r="AN319">
        <v>0</v>
      </c>
      <c r="AO319">
        <v>0</v>
      </c>
      <c r="AP319">
        <v>0</v>
      </c>
      <c r="AQ319">
        <v>1</v>
      </c>
      <c r="AR319">
        <v>0</v>
      </c>
      <c r="AS319" t="s">
        <v>3</v>
      </c>
      <c r="AT319">
        <v>0.5</v>
      </c>
      <c r="AU319" t="s">
        <v>3</v>
      </c>
      <c r="AV319">
        <v>1</v>
      </c>
      <c r="AW319">
        <v>2</v>
      </c>
      <c r="AX319">
        <v>65172062</v>
      </c>
      <c r="AY319">
        <v>1</v>
      </c>
      <c r="AZ319">
        <v>0</v>
      </c>
      <c r="BA319">
        <v>328</v>
      </c>
      <c r="BB319">
        <v>1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322.14999999999998</v>
      </c>
      <c r="BN319">
        <v>0.5</v>
      </c>
      <c r="BO319">
        <v>0</v>
      </c>
      <c r="BP319">
        <v>1</v>
      </c>
      <c r="BQ319">
        <v>0</v>
      </c>
      <c r="BR319">
        <v>0</v>
      </c>
      <c r="BS319">
        <v>0</v>
      </c>
      <c r="BT319">
        <v>322.14999999999998</v>
      </c>
      <c r="BU319">
        <v>0.5</v>
      </c>
      <c r="BV319">
        <v>0</v>
      </c>
      <c r="BW319">
        <v>1</v>
      </c>
      <c r="CU319">
        <f>ROUND(AT319*Source!I303*AH319*AL319,2)</f>
        <v>2577.1999999999998</v>
      </c>
      <c r="CV319">
        <f>ROUND(Y319*Source!I303,7)</f>
        <v>4</v>
      </c>
      <c r="CW319">
        <v>0</v>
      </c>
      <c r="CX319">
        <f>ROUND(Y319*Source!I303,7)</f>
        <v>4</v>
      </c>
      <c r="CY319">
        <f t="shared" si="104"/>
        <v>644.29999999999995</v>
      </c>
      <c r="CZ319">
        <f t="shared" si="105"/>
        <v>644.29999999999995</v>
      </c>
      <c r="DA319">
        <f t="shared" si="106"/>
        <v>1</v>
      </c>
      <c r="DB319">
        <f t="shared" si="110"/>
        <v>322.14999999999998</v>
      </c>
      <c r="DC319">
        <f t="shared" si="111"/>
        <v>0</v>
      </c>
      <c r="DD319" t="s">
        <v>3</v>
      </c>
      <c r="DE319" t="s">
        <v>3</v>
      </c>
      <c r="DF319">
        <f t="shared" si="107"/>
        <v>0</v>
      </c>
      <c r="DG319">
        <f t="shared" si="103"/>
        <v>0</v>
      </c>
      <c r="DH319">
        <f t="shared" si="90"/>
        <v>0</v>
      </c>
      <c r="DI319">
        <f t="shared" si="100"/>
        <v>2577.1999999999998</v>
      </c>
      <c r="DJ319">
        <f t="shared" si="108"/>
        <v>2577.1999999999998</v>
      </c>
      <c r="DK319">
        <v>1</v>
      </c>
      <c r="DL319" t="s">
        <v>3</v>
      </c>
      <c r="DM319">
        <v>0</v>
      </c>
      <c r="DN319" t="s">
        <v>3</v>
      </c>
      <c r="DO319">
        <v>0</v>
      </c>
    </row>
    <row r="320" spans="1:119" x14ac:dyDescent="0.2">
      <c r="A320">
        <f>ROW(Source!A304)</f>
        <v>304</v>
      </c>
      <c r="B320">
        <v>65170852</v>
      </c>
      <c r="C320">
        <v>65172063</v>
      </c>
      <c r="D320">
        <v>56217421</v>
      </c>
      <c r="E320">
        <v>108</v>
      </c>
      <c r="F320">
        <v>1</v>
      </c>
      <c r="G320">
        <v>1</v>
      </c>
      <c r="H320">
        <v>1</v>
      </c>
      <c r="I320" t="s">
        <v>757</v>
      </c>
      <c r="J320" t="s">
        <v>3</v>
      </c>
      <c r="K320" t="s">
        <v>758</v>
      </c>
      <c r="L320">
        <v>1369</v>
      </c>
      <c r="N320">
        <v>1013</v>
      </c>
      <c r="O320" t="s">
        <v>699</v>
      </c>
      <c r="P320" t="s">
        <v>699</v>
      </c>
      <c r="Q320">
        <v>1</v>
      </c>
      <c r="W320">
        <v>0</v>
      </c>
      <c r="X320">
        <v>286205319</v>
      </c>
      <c r="Y320">
        <f t="shared" si="109"/>
        <v>0.81</v>
      </c>
      <c r="AA320">
        <v>0</v>
      </c>
      <c r="AB320">
        <v>0</v>
      </c>
      <c r="AC320">
        <v>0</v>
      </c>
      <c r="AD320">
        <v>658.94</v>
      </c>
      <c r="AE320">
        <v>0</v>
      </c>
      <c r="AF320">
        <v>0</v>
      </c>
      <c r="AG320">
        <v>0</v>
      </c>
      <c r="AH320">
        <v>658.94</v>
      </c>
      <c r="AI320">
        <v>1</v>
      </c>
      <c r="AJ320">
        <v>1</v>
      </c>
      <c r="AK320">
        <v>1</v>
      </c>
      <c r="AL320">
        <v>1</v>
      </c>
      <c r="AM320">
        <v>-2</v>
      </c>
      <c r="AN320">
        <v>0</v>
      </c>
      <c r="AO320">
        <v>0</v>
      </c>
      <c r="AP320">
        <v>0</v>
      </c>
      <c r="AQ320">
        <v>1</v>
      </c>
      <c r="AR320">
        <v>0</v>
      </c>
      <c r="AS320" t="s">
        <v>3</v>
      </c>
      <c r="AT320">
        <v>0.81</v>
      </c>
      <c r="AU320" t="s">
        <v>3</v>
      </c>
      <c r="AV320">
        <v>1</v>
      </c>
      <c r="AW320">
        <v>2</v>
      </c>
      <c r="AX320">
        <v>65172066</v>
      </c>
      <c r="AY320">
        <v>1</v>
      </c>
      <c r="AZ320">
        <v>0</v>
      </c>
      <c r="BA320">
        <v>329</v>
      </c>
      <c r="BB320">
        <v>1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533.74140000000011</v>
      </c>
      <c r="BN320">
        <v>0.81</v>
      </c>
      <c r="BO320">
        <v>0</v>
      </c>
      <c r="BP320">
        <v>1</v>
      </c>
      <c r="BQ320">
        <v>0</v>
      </c>
      <c r="BR320">
        <v>0</v>
      </c>
      <c r="BS320">
        <v>0</v>
      </c>
      <c r="BT320">
        <v>533.74140000000011</v>
      </c>
      <c r="BU320">
        <v>0.81</v>
      </c>
      <c r="BV320">
        <v>0</v>
      </c>
      <c r="BW320">
        <v>1</v>
      </c>
      <c r="CU320">
        <f>ROUND(AT320*Source!I304*AH320*AL320,2)</f>
        <v>4269.93</v>
      </c>
      <c r="CV320">
        <f>ROUND(Y320*Source!I304,7)</f>
        <v>6.48</v>
      </c>
      <c r="CW320">
        <v>0</v>
      </c>
      <c r="CX320">
        <f>ROUND(Y320*Source!I304,7)</f>
        <v>6.48</v>
      </c>
      <c r="CY320">
        <f t="shared" si="104"/>
        <v>658.94</v>
      </c>
      <c r="CZ320">
        <f t="shared" si="105"/>
        <v>658.94</v>
      </c>
      <c r="DA320">
        <f t="shared" si="106"/>
        <v>1</v>
      </c>
      <c r="DB320">
        <f t="shared" si="110"/>
        <v>533.74</v>
      </c>
      <c r="DC320">
        <f t="shared" si="111"/>
        <v>0</v>
      </c>
      <c r="DD320" t="s">
        <v>3</v>
      </c>
      <c r="DE320" t="s">
        <v>3</v>
      </c>
      <c r="DF320">
        <f t="shared" si="107"/>
        <v>0</v>
      </c>
      <c r="DG320">
        <f t="shared" si="103"/>
        <v>0</v>
      </c>
      <c r="DH320">
        <f t="shared" si="90"/>
        <v>0</v>
      </c>
      <c r="DI320">
        <f t="shared" si="100"/>
        <v>4269.93</v>
      </c>
      <c r="DJ320">
        <f t="shared" si="108"/>
        <v>4269.93</v>
      </c>
      <c r="DK320">
        <v>1</v>
      </c>
      <c r="DL320" t="s">
        <v>3</v>
      </c>
      <c r="DM320">
        <v>0</v>
      </c>
      <c r="DN320" t="s">
        <v>3</v>
      </c>
      <c r="DO320">
        <v>0</v>
      </c>
    </row>
    <row r="321" spans="1:119" x14ac:dyDescent="0.2">
      <c r="A321">
        <f>ROW(Source!A304)</f>
        <v>304</v>
      </c>
      <c r="B321">
        <v>65170852</v>
      </c>
      <c r="C321">
        <v>65172063</v>
      </c>
      <c r="D321">
        <v>56217452</v>
      </c>
      <c r="E321">
        <v>108</v>
      </c>
      <c r="F321">
        <v>1</v>
      </c>
      <c r="G321">
        <v>1</v>
      </c>
      <c r="H321">
        <v>1</v>
      </c>
      <c r="I321" t="s">
        <v>759</v>
      </c>
      <c r="J321" t="s">
        <v>3</v>
      </c>
      <c r="K321" t="s">
        <v>760</v>
      </c>
      <c r="L321">
        <v>1369</v>
      </c>
      <c r="N321">
        <v>1013</v>
      </c>
      <c r="O321" t="s">
        <v>699</v>
      </c>
      <c r="P321" t="s">
        <v>699</v>
      </c>
      <c r="Q321">
        <v>1</v>
      </c>
      <c r="W321">
        <v>0</v>
      </c>
      <c r="X321">
        <v>126826561</v>
      </c>
      <c r="Y321">
        <f t="shared" si="109"/>
        <v>0.81</v>
      </c>
      <c r="AA321">
        <v>0</v>
      </c>
      <c r="AB321">
        <v>0</v>
      </c>
      <c r="AC321">
        <v>0</v>
      </c>
      <c r="AD321">
        <v>644.29999999999995</v>
      </c>
      <c r="AE321">
        <v>0</v>
      </c>
      <c r="AF321">
        <v>0</v>
      </c>
      <c r="AG321">
        <v>0</v>
      </c>
      <c r="AH321">
        <v>644.29999999999995</v>
      </c>
      <c r="AI321">
        <v>1</v>
      </c>
      <c r="AJ321">
        <v>1</v>
      </c>
      <c r="AK321">
        <v>1</v>
      </c>
      <c r="AL321">
        <v>1</v>
      </c>
      <c r="AM321">
        <v>-2</v>
      </c>
      <c r="AN321">
        <v>0</v>
      </c>
      <c r="AO321">
        <v>0</v>
      </c>
      <c r="AP321">
        <v>0</v>
      </c>
      <c r="AQ321">
        <v>1</v>
      </c>
      <c r="AR321">
        <v>0</v>
      </c>
      <c r="AS321" t="s">
        <v>3</v>
      </c>
      <c r="AT321">
        <v>0.81</v>
      </c>
      <c r="AU321" t="s">
        <v>3</v>
      </c>
      <c r="AV321">
        <v>1</v>
      </c>
      <c r="AW321">
        <v>2</v>
      </c>
      <c r="AX321">
        <v>65172067</v>
      </c>
      <c r="AY321">
        <v>1</v>
      </c>
      <c r="AZ321">
        <v>0</v>
      </c>
      <c r="BA321">
        <v>330</v>
      </c>
      <c r="BB321">
        <v>1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521.88300000000004</v>
      </c>
      <c r="BN321">
        <v>0.81</v>
      </c>
      <c r="BO321">
        <v>0</v>
      </c>
      <c r="BP321">
        <v>1</v>
      </c>
      <c r="BQ321">
        <v>0</v>
      </c>
      <c r="BR321">
        <v>0</v>
      </c>
      <c r="BS321">
        <v>0</v>
      </c>
      <c r="BT321">
        <v>521.88300000000004</v>
      </c>
      <c r="BU321">
        <v>0.81</v>
      </c>
      <c r="BV321">
        <v>0</v>
      </c>
      <c r="BW321">
        <v>1</v>
      </c>
      <c r="CU321">
        <f>ROUND(AT321*Source!I304*AH321*AL321,2)</f>
        <v>4175.0600000000004</v>
      </c>
      <c r="CV321">
        <f>ROUND(Y321*Source!I304,7)</f>
        <v>6.48</v>
      </c>
      <c r="CW321">
        <v>0</v>
      </c>
      <c r="CX321">
        <f>ROUND(Y321*Source!I304,7)</f>
        <v>6.48</v>
      </c>
      <c r="CY321">
        <f t="shared" si="104"/>
        <v>644.29999999999995</v>
      </c>
      <c r="CZ321">
        <f t="shared" si="105"/>
        <v>644.29999999999995</v>
      </c>
      <c r="DA321">
        <f t="shared" si="106"/>
        <v>1</v>
      </c>
      <c r="DB321">
        <f t="shared" si="110"/>
        <v>521.88</v>
      </c>
      <c r="DC321">
        <f t="shared" si="111"/>
        <v>0</v>
      </c>
      <c r="DD321" t="s">
        <v>3</v>
      </c>
      <c r="DE321" t="s">
        <v>3</v>
      </c>
      <c r="DF321">
        <f t="shared" si="107"/>
        <v>0</v>
      </c>
      <c r="DG321">
        <f t="shared" si="103"/>
        <v>0</v>
      </c>
      <c r="DH321">
        <f t="shared" si="90"/>
        <v>0</v>
      </c>
      <c r="DI321">
        <f t="shared" si="100"/>
        <v>4175.0600000000004</v>
      </c>
      <c r="DJ321">
        <f t="shared" si="108"/>
        <v>4175.0600000000004</v>
      </c>
      <c r="DK321">
        <v>1</v>
      </c>
      <c r="DL321" t="s">
        <v>3</v>
      </c>
      <c r="DM321">
        <v>0</v>
      </c>
      <c r="DN321" t="s">
        <v>3</v>
      </c>
      <c r="DO321">
        <v>0</v>
      </c>
    </row>
    <row r="322" spans="1:119" x14ac:dyDescent="0.2">
      <c r="A322">
        <f>ROW(Source!A305)</f>
        <v>305</v>
      </c>
      <c r="B322">
        <v>65170852</v>
      </c>
      <c r="C322">
        <v>65172068</v>
      </c>
      <c r="D322">
        <v>56217421</v>
      </c>
      <c r="E322">
        <v>108</v>
      </c>
      <c r="F322">
        <v>1</v>
      </c>
      <c r="G322">
        <v>1</v>
      </c>
      <c r="H322">
        <v>1</v>
      </c>
      <c r="I322" t="s">
        <v>757</v>
      </c>
      <c r="J322" t="s">
        <v>3</v>
      </c>
      <c r="K322" t="s">
        <v>758</v>
      </c>
      <c r="L322">
        <v>1369</v>
      </c>
      <c r="N322">
        <v>1013</v>
      </c>
      <c r="O322" t="s">
        <v>699</v>
      </c>
      <c r="P322" t="s">
        <v>699</v>
      </c>
      <c r="Q322">
        <v>1</v>
      </c>
      <c r="W322">
        <v>0</v>
      </c>
      <c r="X322">
        <v>286205319</v>
      </c>
      <c r="Y322">
        <f t="shared" si="109"/>
        <v>6.48</v>
      </c>
      <c r="AA322">
        <v>0</v>
      </c>
      <c r="AB322">
        <v>0</v>
      </c>
      <c r="AC322">
        <v>0</v>
      </c>
      <c r="AD322">
        <v>658.94</v>
      </c>
      <c r="AE322">
        <v>0</v>
      </c>
      <c r="AF322">
        <v>0</v>
      </c>
      <c r="AG322">
        <v>0</v>
      </c>
      <c r="AH322">
        <v>658.94</v>
      </c>
      <c r="AI322">
        <v>1</v>
      </c>
      <c r="AJ322">
        <v>1</v>
      </c>
      <c r="AK322">
        <v>1</v>
      </c>
      <c r="AL322">
        <v>1</v>
      </c>
      <c r="AM322">
        <v>-2</v>
      </c>
      <c r="AN322">
        <v>0</v>
      </c>
      <c r="AO322">
        <v>0</v>
      </c>
      <c r="AP322">
        <v>0</v>
      </c>
      <c r="AQ322">
        <v>1</v>
      </c>
      <c r="AR322">
        <v>0</v>
      </c>
      <c r="AS322" t="s">
        <v>3</v>
      </c>
      <c r="AT322">
        <v>6.48</v>
      </c>
      <c r="AU322" t="s">
        <v>3</v>
      </c>
      <c r="AV322">
        <v>1</v>
      </c>
      <c r="AW322">
        <v>2</v>
      </c>
      <c r="AX322">
        <v>65172071</v>
      </c>
      <c r="AY322">
        <v>1</v>
      </c>
      <c r="AZ322">
        <v>0</v>
      </c>
      <c r="BA322">
        <v>331</v>
      </c>
      <c r="BB322">
        <v>1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4269.9312000000009</v>
      </c>
      <c r="BN322">
        <v>6.48</v>
      </c>
      <c r="BO322">
        <v>0</v>
      </c>
      <c r="BP322">
        <v>1</v>
      </c>
      <c r="BQ322">
        <v>0</v>
      </c>
      <c r="BR322">
        <v>0</v>
      </c>
      <c r="BS322">
        <v>0</v>
      </c>
      <c r="BT322">
        <v>4269.9312000000009</v>
      </c>
      <c r="BU322">
        <v>6.48</v>
      </c>
      <c r="BV322">
        <v>0</v>
      </c>
      <c r="BW322">
        <v>1</v>
      </c>
      <c r="CU322">
        <f>ROUND(AT322*Source!I305*AH322*AL322,2)</f>
        <v>341.59</v>
      </c>
      <c r="CV322">
        <f>ROUND(Y322*Source!I305,7)</f>
        <v>0.51839999999999997</v>
      </c>
      <c r="CW322">
        <v>0</v>
      </c>
      <c r="CX322">
        <f>ROUND(Y322*Source!I305,7)</f>
        <v>0.51839999999999997</v>
      </c>
      <c r="CY322">
        <f t="shared" si="104"/>
        <v>658.94</v>
      </c>
      <c r="CZ322">
        <f t="shared" si="105"/>
        <v>658.94</v>
      </c>
      <c r="DA322">
        <f t="shared" si="106"/>
        <v>1</v>
      </c>
      <c r="DB322">
        <f t="shared" si="110"/>
        <v>4269.93</v>
      </c>
      <c r="DC322">
        <f t="shared" si="111"/>
        <v>0</v>
      </c>
      <c r="DD322" t="s">
        <v>3</v>
      </c>
      <c r="DE322" t="s">
        <v>3</v>
      </c>
      <c r="DF322">
        <f t="shared" si="107"/>
        <v>0</v>
      </c>
      <c r="DG322">
        <f t="shared" si="103"/>
        <v>0</v>
      </c>
      <c r="DH322">
        <f t="shared" si="90"/>
        <v>0</v>
      </c>
      <c r="DI322">
        <f t="shared" si="100"/>
        <v>341.59</v>
      </c>
      <c r="DJ322">
        <f t="shared" si="108"/>
        <v>341.59</v>
      </c>
      <c r="DK322">
        <v>1</v>
      </c>
      <c r="DL322" t="s">
        <v>3</v>
      </c>
      <c r="DM322">
        <v>0</v>
      </c>
      <c r="DN322" t="s">
        <v>3</v>
      </c>
      <c r="DO322">
        <v>0</v>
      </c>
    </row>
    <row r="323" spans="1:119" x14ac:dyDescent="0.2">
      <c r="A323">
        <f>ROW(Source!A305)</f>
        <v>305</v>
      </c>
      <c r="B323">
        <v>65170852</v>
      </c>
      <c r="C323">
        <v>65172068</v>
      </c>
      <c r="D323">
        <v>56217452</v>
      </c>
      <c r="E323">
        <v>108</v>
      </c>
      <c r="F323">
        <v>1</v>
      </c>
      <c r="G323">
        <v>1</v>
      </c>
      <c r="H323">
        <v>1</v>
      </c>
      <c r="I323" t="s">
        <v>759</v>
      </c>
      <c r="J323" t="s">
        <v>3</v>
      </c>
      <c r="K323" t="s">
        <v>760</v>
      </c>
      <c r="L323">
        <v>1369</v>
      </c>
      <c r="N323">
        <v>1013</v>
      </c>
      <c r="O323" t="s">
        <v>699</v>
      </c>
      <c r="P323" t="s">
        <v>699</v>
      </c>
      <c r="Q323">
        <v>1</v>
      </c>
      <c r="W323">
        <v>0</v>
      </c>
      <c r="X323">
        <v>126826561</v>
      </c>
      <c r="Y323">
        <f t="shared" si="109"/>
        <v>6.48</v>
      </c>
      <c r="AA323">
        <v>0</v>
      </c>
      <c r="AB323">
        <v>0</v>
      </c>
      <c r="AC323">
        <v>0</v>
      </c>
      <c r="AD323">
        <v>644.29999999999995</v>
      </c>
      <c r="AE323">
        <v>0</v>
      </c>
      <c r="AF323">
        <v>0</v>
      </c>
      <c r="AG323">
        <v>0</v>
      </c>
      <c r="AH323">
        <v>644.29999999999995</v>
      </c>
      <c r="AI323">
        <v>1</v>
      </c>
      <c r="AJ323">
        <v>1</v>
      </c>
      <c r="AK323">
        <v>1</v>
      </c>
      <c r="AL323">
        <v>1</v>
      </c>
      <c r="AM323">
        <v>-2</v>
      </c>
      <c r="AN323">
        <v>0</v>
      </c>
      <c r="AO323">
        <v>0</v>
      </c>
      <c r="AP323">
        <v>0</v>
      </c>
      <c r="AQ323">
        <v>1</v>
      </c>
      <c r="AR323">
        <v>0</v>
      </c>
      <c r="AS323" t="s">
        <v>3</v>
      </c>
      <c r="AT323">
        <v>6.48</v>
      </c>
      <c r="AU323" t="s">
        <v>3</v>
      </c>
      <c r="AV323">
        <v>1</v>
      </c>
      <c r="AW323">
        <v>2</v>
      </c>
      <c r="AX323">
        <v>65172072</v>
      </c>
      <c r="AY323">
        <v>1</v>
      </c>
      <c r="AZ323">
        <v>0</v>
      </c>
      <c r="BA323">
        <v>332</v>
      </c>
      <c r="BB323">
        <v>1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4175.0640000000003</v>
      </c>
      <c r="BN323">
        <v>6.48</v>
      </c>
      <c r="BO323">
        <v>0</v>
      </c>
      <c r="BP323">
        <v>1</v>
      </c>
      <c r="BQ323">
        <v>0</v>
      </c>
      <c r="BR323">
        <v>0</v>
      </c>
      <c r="BS323">
        <v>0</v>
      </c>
      <c r="BT323">
        <v>4175.0640000000003</v>
      </c>
      <c r="BU323">
        <v>6.48</v>
      </c>
      <c r="BV323">
        <v>0</v>
      </c>
      <c r="BW323">
        <v>1</v>
      </c>
      <c r="CU323">
        <f>ROUND(AT323*Source!I305*AH323*AL323,2)</f>
        <v>334.01</v>
      </c>
      <c r="CV323">
        <f>ROUND(Y323*Source!I305,7)</f>
        <v>0.51839999999999997</v>
      </c>
      <c r="CW323">
        <v>0</v>
      </c>
      <c r="CX323">
        <f>ROUND(Y323*Source!I305,7)</f>
        <v>0.51839999999999997</v>
      </c>
      <c r="CY323">
        <f t="shared" si="104"/>
        <v>644.29999999999995</v>
      </c>
      <c r="CZ323">
        <f t="shared" si="105"/>
        <v>644.29999999999995</v>
      </c>
      <c r="DA323">
        <f t="shared" si="106"/>
        <v>1</v>
      </c>
      <c r="DB323">
        <f t="shared" si="110"/>
        <v>4175.0600000000004</v>
      </c>
      <c r="DC323">
        <f t="shared" si="111"/>
        <v>0</v>
      </c>
      <c r="DD323" t="s">
        <v>3</v>
      </c>
      <c r="DE323" t="s">
        <v>3</v>
      </c>
      <c r="DF323">
        <f t="shared" si="107"/>
        <v>0</v>
      </c>
      <c r="DG323">
        <f t="shared" si="103"/>
        <v>0</v>
      </c>
      <c r="DH323">
        <f t="shared" si="90"/>
        <v>0</v>
      </c>
      <c r="DI323">
        <f t="shared" si="100"/>
        <v>334.01</v>
      </c>
      <c r="DJ323">
        <f t="shared" si="108"/>
        <v>334.01</v>
      </c>
      <c r="DK323">
        <v>1</v>
      </c>
      <c r="DL323" t="s">
        <v>3</v>
      </c>
      <c r="DM323">
        <v>0</v>
      </c>
      <c r="DN323" t="s">
        <v>3</v>
      </c>
      <c r="DO323">
        <v>0</v>
      </c>
    </row>
    <row r="324" spans="1:119" x14ac:dyDescent="0.2">
      <c r="A324">
        <f>ROW(Source!A306)</f>
        <v>306</v>
      </c>
      <c r="B324">
        <v>65170852</v>
      </c>
      <c r="C324">
        <v>65172073</v>
      </c>
      <c r="D324">
        <v>56217421</v>
      </c>
      <c r="E324">
        <v>108</v>
      </c>
      <c r="F324">
        <v>1</v>
      </c>
      <c r="G324">
        <v>1</v>
      </c>
      <c r="H324">
        <v>1</v>
      </c>
      <c r="I324" t="s">
        <v>757</v>
      </c>
      <c r="J324" t="s">
        <v>3</v>
      </c>
      <c r="K324" t="s">
        <v>758</v>
      </c>
      <c r="L324">
        <v>1369</v>
      </c>
      <c r="N324">
        <v>1013</v>
      </c>
      <c r="O324" t="s">
        <v>699</v>
      </c>
      <c r="P324" t="s">
        <v>699</v>
      </c>
      <c r="Q324">
        <v>1</v>
      </c>
      <c r="W324">
        <v>0</v>
      </c>
      <c r="X324">
        <v>286205319</v>
      </c>
      <c r="Y324">
        <f t="shared" si="109"/>
        <v>1.62</v>
      </c>
      <c r="AA324">
        <v>0</v>
      </c>
      <c r="AB324">
        <v>0</v>
      </c>
      <c r="AC324">
        <v>0</v>
      </c>
      <c r="AD324">
        <v>658.94</v>
      </c>
      <c r="AE324">
        <v>0</v>
      </c>
      <c r="AF324">
        <v>0</v>
      </c>
      <c r="AG324">
        <v>0</v>
      </c>
      <c r="AH324">
        <v>658.94</v>
      </c>
      <c r="AI324">
        <v>1</v>
      </c>
      <c r="AJ324">
        <v>1</v>
      </c>
      <c r="AK324">
        <v>1</v>
      </c>
      <c r="AL324">
        <v>1</v>
      </c>
      <c r="AM324">
        <v>-2</v>
      </c>
      <c r="AN324">
        <v>0</v>
      </c>
      <c r="AO324">
        <v>0</v>
      </c>
      <c r="AP324">
        <v>0</v>
      </c>
      <c r="AQ324">
        <v>1</v>
      </c>
      <c r="AR324">
        <v>0</v>
      </c>
      <c r="AS324" t="s">
        <v>3</v>
      </c>
      <c r="AT324">
        <v>1.62</v>
      </c>
      <c r="AU324" t="s">
        <v>3</v>
      </c>
      <c r="AV324">
        <v>1</v>
      </c>
      <c r="AW324">
        <v>2</v>
      </c>
      <c r="AX324">
        <v>65172076</v>
      </c>
      <c r="AY324">
        <v>1</v>
      </c>
      <c r="AZ324">
        <v>0</v>
      </c>
      <c r="BA324">
        <v>333</v>
      </c>
      <c r="BB324">
        <v>1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1067.4828000000002</v>
      </c>
      <c r="BN324">
        <v>1.62</v>
      </c>
      <c r="BO324">
        <v>0</v>
      </c>
      <c r="BP324">
        <v>1</v>
      </c>
      <c r="BQ324">
        <v>0</v>
      </c>
      <c r="BR324">
        <v>0</v>
      </c>
      <c r="BS324">
        <v>0</v>
      </c>
      <c r="BT324">
        <v>1067.4828000000002</v>
      </c>
      <c r="BU324">
        <v>1.62</v>
      </c>
      <c r="BV324">
        <v>0</v>
      </c>
      <c r="BW324">
        <v>1</v>
      </c>
      <c r="CU324">
        <f>ROUND(AT324*Source!I306*AH324*AL324,2)</f>
        <v>8539.86</v>
      </c>
      <c r="CV324">
        <f>ROUND(Y324*Source!I306,7)</f>
        <v>12.96</v>
      </c>
      <c r="CW324">
        <v>0</v>
      </c>
      <c r="CX324">
        <f>ROUND(Y324*Source!I306,7)</f>
        <v>12.96</v>
      </c>
      <c r="CY324">
        <f t="shared" si="104"/>
        <v>658.94</v>
      </c>
      <c r="CZ324">
        <f t="shared" si="105"/>
        <v>658.94</v>
      </c>
      <c r="DA324">
        <f t="shared" si="106"/>
        <v>1</v>
      </c>
      <c r="DB324">
        <f t="shared" si="110"/>
        <v>1067.48</v>
      </c>
      <c r="DC324">
        <f t="shared" si="111"/>
        <v>0</v>
      </c>
      <c r="DD324" t="s">
        <v>3</v>
      </c>
      <c r="DE324" t="s">
        <v>3</v>
      </c>
      <c r="DF324">
        <f t="shared" si="107"/>
        <v>0</v>
      </c>
      <c r="DG324">
        <f t="shared" si="103"/>
        <v>0</v>
      </c>
      <c r="DH324">
        <f t="shared" si="90"/>
        <v>0</v>
      </c>
      <c r="DI324">
        <f t="shared" si="100"/>
        <v>8539.86</v>
      </c>
      <c r="DJ324">
        <f t="shared" si="108"/>
        <v>8539.86</v>
      </c>
      <c r="DK324">
        <v>1</v>
      </c>
      <c r="DL324" t="s">
        <v>3</v>
      </c>
      <c r="DM324">
        <v>0</v>
      </c>
      <c r="DN324" t="s">
        <v>3</v>
      </c>
      <c r="DO324">
        <v>0</v>
      </c>
    </row>
    <row r="325" spans="1:119" x14ac:dyDescent="0.2">
      <c r="A325">
        <f>ROW(Source!A306)</f>
        <v>306</v>
      </c>
      <c r="B325">
        <v>65170852</v>
      </c>
      <c r="C325">
        <v>65172073</v>
      </c>
      <c r="D325">
        <v>56217452</v>
      </c>
      <c r="E325">
        <v>108</v>
      </c>
      <c r="F325">
        <v>1</v>
      </c>
      <c r="G325">
        <v>1</v>
      </c>
      <c r="H325">
        <v>1</v>
      </c>
      <c r="I325" t="s">
        <v>759</v>
      </c>
      <c r="J325" t="s">
        <v>3</v>
      </c>
      <c r="K325" t="s">
        <v>760</v>
      </c>
      <c r="L325">
        <v>1369</v>
      </c>
      <c r="N325">
        <v>1013</v>
      </c>
      <c r="O325" t="s">
        <v>699</v>
      </c>
      <c r="P325" t="s">
        <v>699</v>
      </c>
      <c r="Q325">
        <v>1</v>
      </c>
      <c r="W325">
        <v>0</v>
      </c>
      <c r="X325">
        <v>126826561</v>
      </c>
      <c r="Y325">
        <f t="shared" si="109"/>
        <v>1.62</v>
      </c>
      <c r="AA325">
        <v>0</v>
      </c>
      <c r="AB325">
        <v>0</v>
      </c>
      <c r="AC325">
        <v>0</v>
      </c>
      <c r="AD325">
        <v>644.29999999999995</v>
      </c>
      <c r="AE325">
        <v>0</v>
      </c>
      <c r="AF325">
        <v>0</v>
      </c>
      <c r="AG325">
        <v>0</v>
      </c>
      <c r="AH325">
        <v>644.29999999999995</v>
      </c>
      <c r="AI325">
        <v>1</v>
      </c>
      <c r="AJ325">
        <v>1</v>
      </c>
      <c r="AK325">
        <v>1</v>
      </c>
      <c r="AL325">
        <v>1</v>
      </c>
      <c r="AM325">
        <v>-2</v>
      </c>
      <c r="AN325">
        <v>0</v>
      </c>
      <c r="AO325">
        <v>0</v>
      </c>
      <c r="AP325">
        <v>0</v>
      </c>
      <c r="AQ325">
        <v>1</v>
      </c>
      <c r="AR325">
        <v>0</v>
      </c>
      <c r="AS325" t="s">
        <v>3</v>
      </c>
      <c r="AT325">
        <v>1.62</v>
      </c>
      <c r="AU325" t="s">
        <v>3</v>
      </c>
      <c r="AV325">
        <v>1</v>
      </c>
      <c r="AW325">
        <v>2</v>
      </c>
      <c r="AX325">
        <v>65172077</v>
      </c>
      <c r="AY325">
        <v>1</v>
      </c>
      <c r="AZ325">
        <v>0</v>
      </c>
      <c r="BA325">
        <v>334</v>
      </c>
      <c r="BB325">
        <v>1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1043.7660000000001</v>
      </c>
      <c r="BN325">
        <v>1.62</v>
      </c>
      <c r="BO325">
        <v>0</v>
      </c>
      <c r="BP325">
        <v>1</v>
      </c>
      <c r="BQ325">
        <v>0</v>
      </c>
      <c r="BR325">
        <v>0</v>
      </c>
      <c r="BS325">
        <v>0</v>
      </c>
      <c r="BT325">
        <v>1043.7660000000001</v>
      </c>
      <c r="BU325">
        <v>1.62</v>
      </c>
      <c r="BV325">
        <v>0</v>
      </c>
      <c r="BW325">
        <v>1</v>
      </c>
      <c r="CU325">
        <f>ROUND(AT325*Source!I306*AH325*AL325,2)</f>
        <v>8350.1299999999992</v>
      </c>
      <c r="CV325">
        <f>ROUND(Y325*Source!I306,7)</f>
        <v>12.96</v>
      </c>
      <c r="CW325">
        <v>0</v>
      </c>
      <c r="CX325">
        <f>ROUND(Y325*Source!I306,7)</f>
        <v>12.96</v>
      </c>
      <c r="CY325">
        <f t="shared" si="104"/>
        <v>644.29999999999995</v>
      </c>
      <c r="CZ325">
        <f t="shared" si="105"/>
        <v>644.29999999999995</v>
      </c>
      <c r="DA325">
        <f t="shared" si="106"/>
        <v>1</v>
      </c>
      <c r="DB325">
        <f t="shared" si="110"/>
        <v>1043.77</v>
      </c>
      <c r="DC325">
        <f t="shared" si="111"/>
        <v>0</v>
      </c>
      <c r="DD325" t="s">
        <v>3</v>
      </c>
      <c r="DE325" t="s">
        <v>3</v>
      </c>
      <c r="DF325">
        <f t="shared" si="107"/>
        <v>0</v>
      </c>
      <c r="DG325">
        <f t="shared" si="103"/>
        <v>0</v>
      </c>
      <c r="DH325">
        <f t="shared" si="90"/>
        <v>0</v>
      </c>
      <c r="DI325">
        <f t="shared" si="100"/>
        <v>8350.1299999999992</v>
      </c>
      <c r="DJ325">
        <f t="shared" si="108"/>
        <v>8350.1299999999992</v>
      </c>
      <c r="DK325">
        <v>1</v>
      </c>
      <c r="DL325" t="s">
        <v>3</v>
      </c>
      <c r="DM325">
        <v>0</v>
      </c>
      <c r="DN325" t="s">
        <v>3</v>
      </c>
      <c r="DO325">
        <v>0</v>
      </c>
    </row>
    <row r="401" spans="9:9" x14ac:dyDescent="0.2">
      <c r="I40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3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ROW(Source!A62)</f>
        <v>62</v>
      </c>
      <c r="B1">
        <v>65171001</v>
      </c>
      <c r="C1">
        <v>65170992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507</v>
      </c>
      <c r="J1" t="s">
        <v>3</v>
      </c>
      <c r="K1" t="s">
        <v>508</v>
      </c>
      <c r="L1">
        <v>1191</v>
      </c>
      <c r="N1">
        <v>1013</v>
      </c>
      <c r="O1" t="s">
        <v>509</v>
      </c>
      <c r="P1" t="s">
        <v>509</v>
      </c>
      <c r="Q1">
        <v>1</v>
      </c>
      <c r="X1">
        <v>66.8</v>
      </c>
      <c r="Y1">
        <v>0</v>
      </c>
      <c r="Z1">
        <v>0</v>
      </c>
      <c r="AA1">
        <v>0</v>
      </c>
      <c r="AB1">
        <v>446.62</v>
      </c>
      <c r="AC1">
        <v>0</v>
      </c>
      <c r="AD1">
        <v>1</v>
      </c>
      <c r="AE1">
        <v>1</v>
      </c>
      <c r="AF1" t="s">
        <v>79</v>
      </c>
      <c r="AG1">
        <v>53.44</v>
      </c>
      <c r="AH1">
        <v>2</v>
      </c>
      <c r="AI1">
        <v>65170993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ROW(Source!A62)</f>
        <v>62</v>
      </c>
      <c r="B2">
        <v>65171002</v>
      </c>
      <c r="C2">
        <v>65170992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510</v>
      </c>
      <c r="J2" t="s">
        <v>3</v>
      </c>
      <c r="K2" t="s">
        <v>511</v>
      </c>
      <c r="L2">
        <v>1191</v>
      </c>
      <c r="N2">
        <v>1013</v>
      </c>
      <c r="O2" t="s">
        <v>509</v>
      </c>
      <c r="P2" t="s">
        <v>509</v>
      </c>
      <c r="Q2">
        <v>1</v>
      </c>
      <c r="X2">
        <v>27.06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79</v>
      </c>
      <c r="AG2">
        <v>21.648</v>
      </c>
      <c r="AH2">
        <v>2</v>
      </c>
      <c r="AI2">
        <v>65170994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ROW(Source!A62)</f>
        <v>62</v>
      </c>
      <c r="B3">
        <v>65171003</v>
      </c>
      <c r="C3">
        <v>65170992</v>
      </c>
      <c r="D3">
        <v>56571417</v>
      </c>
      <c r="E3">
        <v>1</v>
      </c>
      <c r="F3">
        <v>1</v>
      </c>
      <c r="G3">
        <v>1</v>
      </c>
      <c r="H3">
        <v>2</v>
      </c>
      <c r="I3" t="s">
        <v>512</v>
      </c>
      <c r="J3" t="s">
        <v>513</v>
      </c>
      <c r="K3" t="s">
        <v>514</v>
      </c>
      <c r="L3">
        <v>1368</v>
      </c>
      <c r="N3">
        <v>1011</v>
      </c>
      <c r="O3" t="s">
        <v>515</v>
      </c>
      <c r="P3" t="s">
        <v>515</v>
      </c>
      <c r="Q3">
        <v>1</v>
      </c>
      <c r="X3">
        <v>3.6</v>
      </c>
      <c r="Y3">
        <v>0</v>
      </c>
      <c r="Z3">
        <v>1551.19</v>
      </c>
      <c r="AA3">
        <v>658.94</v>
      </c>
      <c r="AB3">
        <v>0</v>
      </c>
      <c r="AC3">
        <v>0</v>
      </c>
      <c r="AD3">
        <v>1</v>
      </c>
      <c r="AE3">
        <v>0</v>
      </c>
      <c r="AF3" t="s">
        <v>79</v>
      </c>
      <c r="AG3">
        <v>2.8800000000000003</v>
      </c>
      <c r="AH3">
        <v>2</v>
      </c>
      <c r="AI3">
        <v>65170995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ROW(Source!A62)</f>
        <v>62</v>
      </c>
      <c r="B4">
        <v>65171004</v>
      </c>
      <c r="C4">
        <v>65170992</v>
      </c>
      <c r="D4">
        <v>56571433</v>
      </c>
      <c r="E4">
        <v>1</v>
      </c>
      <c r="F4">
        <v>1</v>
      </c>
      <c r="G4">
        <v>1</v>
      </c>
      <c r="H4">
        <v>2</v>
      </c>
      <c r="I4" t="s">
        <v>517</v>
      </c>
      <c r="J4" t="s">
        <v>518</v>
      </c>
      <c r="K4" t="s">
        <v>519</v>
      </c>
      <c r="L4">
        <v>1368</v>
      </c>
      <c r="N4">
        <v>1011</v>
      </c>
      <c r="O4" t="s">
        <v>515</v>
      </c>
      <c r="P4" t="s">
        <v>515</v>
      </c>
      <c r="Q4">
        <v>1</v>
      </c>
      <c r="X4">
        <v>18.2</v>
      </c>
      <c r="Y4">
        <v>0</v>
      </c>
      <c r="Z4">
        <v>1703.3</v>
      </c>
      <c r="AA4">
        <v>658.94</v>
      </c>
      <c r="AB4">
        <v>0</v>
      </c>
      <c r="AC4">
        <v>0</v>
      </c>
      <c r="AD4">
        <v>1</v>
      </c>
      <c r="AE4">
        <v>0</v>
      </c>
      <c r="AF4" t="s">
        <v>79</v>
      </c>
      <c r="AG4">
        <v>14.56</v>
      </c>
      <c r="AH4">
        <v>2</v>
      </c>
      <c r="AI4">
        <v>65170996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ROW(Source!A62)</f>
        <v>62</v>
      </c>
      <c r="B5">
        <v>65171005</v>
      </c>
      <c r="C5">
        <v>65170992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520</v>
      </c>
      <c r="J5" t="s">
        <v>521</v>
      </c>
      <c r="K5" t="s">
        <v>522</v>
      </c>
      <c r="L5">
        <v>1368</v>
      </c>
      <c r="N5">
        <v>1011</v>
      </c>
      <c r="O5" t="s">
        <v>515</v>
      </c>
      <c r="P5" t="s">
        <v>515</v>
      </c>
      <c r="Q5">
        <v>1</v>
      </c>
      <c r="X5">
        <v>5.26</v>
      </c>
      <c r="Y5">
        <v>0</v>
      </c>
      <c r="Z5">
        <v>477.92</v>
      </c>
      <c r="AA5">
        <v>490.55</v>
      </c>
      <c r="AB5">
        <v>0</v>
      </c>
      <c r="AC5">
        <v>0</v>
      </c>
      <c r="AD5">
        <v>1</v>
      </c>
      <c r="AE5">
        <v>0</v>
      </c>
      <c r="AF5" t="s">
        <v>79</v>
      </c>
      <c r="AG5">
        <v>4.2080000000000002</v>
      </c>
      <c r="AH5">
        <v>2</v>
      </c>
      <c r="AI5">
        <v>65170997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ROW(Source!A62)</f>
        <v>62</v>
      </c>
      <c r="B6">
        <v>65171006</v>
      </c>
      <c r="C6">
        <v>65170992</v>
      </c>
      <c r="D6">
        <v>56218682</v>
      </c>
      <c r="E6">
        <v>108</v>
      </c>
      <c r="F6">
        <v>1</v>
      </c>
      <c r="G6">
        <v>1</v>
      </c>
      <c r="H6">
        <v>3</v>
      </c>
      <c r="I6" t="s">
        <v>524</v>
      </c>
      <c r="J6" t="s">
        <v>3</v>
      </c>
      <c r="K6" t="s">
        <v>525</v>
      </c>
      <c r="L6">
        <v>1339</v>
      </c>
      <c r="N6">
        <v>1007</v>
      </c>
      <c r="O6" t="s">
        <v>129</v>
      </c>
      <c r="P6" t="s">
        <v>129</v>
      </c>
      <c r="Q6">
        <v>1</v>
      </c>
      <c r="X6">
        <v>0.71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 t="s">
        <v>78</v>
      </c>
      <c r="AG6">
        <v>0</v>
      </c>
      <c r="AH6">
        <v>2</v>
      </c>
      <c r="AI6">
        <v>65170998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ROW(Source!A62)</f>
        <v>62</v>
      </c>
      <c r="B7">
        <v>65171007</v>
      </c>
      <c r="C7">
        <v>65170992</v>
      </c>
      <c r="D7">
        <v>56584225</v>
      </c>
      <c r="E7">
        <v>1</v>
      </c>
      <c r="F7">
        <v>1</v>
      </c>
      <c r="G7">
        <v>1</v>
      </c>
      <c r="H7">
        <v>3</v>
      </c>
      <c r="I7" t="s">
        <v>527</v>
      </c>
      <c r="J7" t="s">
        <v>528</v>
      </c>
      <c r="K7" t="s">
        <v>529</v>
      </c>
      <c r="L7">
        <v>1339</v>
      </c>
      <c r="N7">
        <v>1007</v>
      </c>
      <c r="O7" t="s">
        <v>129</v>
      </c>
      <c r="P7" t="s">
        <v>129</v>
      </c>
      <c r="Q7">
        <v>1</v>
      </c>
      <c r="X7">
        <v>1.65</v>
      </c>
      <c r="Y7">
        <v>3778.62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78</v>
      </c>
      <c r="AG7">
        <v>0</v>
      </c>
      <c r="AH7">
        <v>2</v>
      </c>
      <c r="AI7">
        <v>65170999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ROW(Source!A62)</f>
        <v>62</v>
      </c>
      <c r="B8">
        <v>65171008</v>
      </c>
      <c r="C8">
        <v>65170992</v>
      </c>
      <c r="D8">
        <v>56219261</v>
      </c>
      <c r="E8">
        <v>108</v>
      </c>
      <c r="F8">
        <v>1</v>
      </c>
      <c r="G8">
        <v>1</v>
      </c>
      <c r="H8">
        <v>3</v>
      </c>
      <c r="I8" t="s">
        <v>530</v>
      </c>
      <c r="J8" t="s">
        <v>3</v>
      </c>
      <c r="K8" t="s">
        <v>531</v>
      </c>
      <c r="L8">
        <v>1371</v>
      </c>
      <c r="N8">
        <v>1013</v>
      </c>
      <c r="O8" t="s">
        <v>220</v>
      </c>
      <c r="P8" t="s">
        <v>220</v>
      </c>
      <c r="Q8">
        <v>1</v>
      </c>
      <c r="X8">
        <v>100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 t="s">
        <v>78</v>
      </c>
      <c r="AG8">
        <v>0</v>
      </c>
      <c r="AH8">
        <v>2</v>
      </c>
      <c r="AI8">
        <v>65171000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ROW(Source!A63)</f>
        <v>63</v>
      </c>
      <c r="B9">
        <v>65171018</v>
      </c>
      <c r="C9">
        <v>65171009</v>
      </c>
      <c r="D9">
        <v>37070090</v>
      </c>
      <c r="E9">
        <v>108</v>
      </c>
      <c r="F9">
        <v>1</v>
      </c>
      <c r="G9">
        <v>1</v>
      </c>
      <c r="H9">
        <v>1</v>
      </c>
      <c r="I9" t="s">
        <v>532</v>
      </c>
      <c r="J9" t="s">
        <v>3</v>
      </c>
      <c r="K9" t="s">
        <v>533</v>
      </c>
      <c r="L9">
        <v>1191</v>
      </c>
      <c r="N9">
        <v>1013</v>
      </c>
      <c r="O9" t="s">
        <v>509</v>
      </c>
      <c r="P9" t="s">
        <v>509</v>
      </c>
      <c r="Q9">
        <v>1</v>
      </c>
      <c r="X9">
        <v>93.7</v>
      </c>
      <c r="Y9">
        <v>0</v>
      </c>
      <c r="Z9">
        <v>0</v>
      </c>
      <c r="AA9">
        <v>0</v>
      </c>
      <c r="AB9">
        <v>457.6</v>
      </c>
      <c r="AC9">
        <v>0</v>
      </c>
      <c r="AD9">
        <v>1</v>
      </c>
      <c r="AE9">
        <v>1</v>
      </c>
      <c r="AF9" t="s">
        <v>79</v>
      </c>
      <c r="AG9">
        <v>74.960000000000008</v>
      </c>
      <c r="AH9">
        <v>2</v>
      </c>
      <c r="AI9">
        <v>65171010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ROW(Source!A63)</f>
        <v>63</v>
      </c>
      <c r="B10">
        <v>65171019</v>
      </c>
      <c r="C10">
        <v>65171009</v>
      </c>
      <c r="D10">
        <v>37064876</v>
      </c>
      <c r="E10">
        <v>108</v>
      </c>
      <c r="F10">
        <v>1</v>
      </c>
      <c r="G10">
        <v>1</v>
      </c>
      <c r="H10">
        <v>1</v>
      </c>
      <c r="I10" t="s">
        <v>510</v>
      </c>
      <c r="J10" t="s">
        <v>3</v>
      </c>
      <c r="K10" t="s">
        <v>511</v>
      </c>
      <c r="L10">
        <v>1191</v>
      </c>
      <c r="N10">
        <v>1013</v>
      </c>
      <c r="O10" t="s">
        <v>509</v>
      </c>
      <c r="P10" t="s">
        <v>509</v>
      </c>
      <c r="Q10">
        <v>1</v>
      </c>
      <c r="X10">
        <v>43.06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2</v>
      </c>
      <c r="AF10" t="s">
        <v>79</v>
      </c>
      <c r="AG10">
        <v>34.448</v>
      </c>
      <c r="AH10">
        <v>2</v>
      </c>
      <c r="AI10">
        <v>65171011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ROW(Source!A63)</f>
        <v>63</v>
      </c>
      <c r="B11">
        <v>65171020</v>
      </c>
      <c r="C11">
        <v>65171009</v>
      </c>
      <c r="D11">
        <v>56571417</v>
      </c>
      <c r="E11">
        <v>1</v>
      </c>
      <c r="F11">
        <v>1</v>
      </c>
      <c r="G11">
        <v>1</v>
      </c>
      <c r="H11">
        <v>2</v>
      </c>
      <c r="I11" t="s">
        <v>512</v>
      </c>
      <c r="J11" t="s">
        <v>513</v>
      </c>
      <c r="K11" t="s">
        <v>514</v>
      </c>
      <c r="L11">
        <v>1368</v>
      </c>
      <c r="N11">
        <v>1011</v>
      </c>
      <c r="O11" t="s">
        <v>515</v>
      </c>
      <c r="P11" t="s">
        <v>515</v>
      </c>
      <c r="Q11">
        <v>1</v>
      </c>
      <c r="X11">
        <v>6.65</v>
      </c>
      <c r="Y11">
        <v>0</v>
      </c>
      <c r="Z11">
        <v>1551.19</v>
      </c>
      <c r="AA11">
        <v>658.94</v>
      </c>
      <c r="AB11">
        <v>0</v>
      </c>
      <c r="AC11">
        <v>0</v>
      </c>
      <c r="AD11">
        <v>1</v>
      </c>
      <c r="AE11">
        <v>0</v>
      </c>
      <c r="AF11" t="s">
        <v>79</v>
      </c>
      <c r="AG11">
        <v>5.32</v>
      </c>
      <c r="AH11">
        <v>2</v>
      </c>
      <c r="AI11">
        <v>65171012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ROW(Source!A63)</f>
        <v>63</v>
      </c>
      <c r="B12">
        <v>65171021</v>
      </c>
      <c r="C12">
        <v>65171009</v>
      </c>
      <c r="D12">
        <v>56571433</v>
      </c>
      <c r="E12">
        <v>1</v>
      </c>
      <c r="F12">
        <v>1</v>
      </c>
      <c r="G12">
        <v>1</v>
      </c>
      <c r="H12">
        <v>2</v>
      </c>
      <c r="I12" t="s">
        <v>517</v>
      </c>
      <c r="J12" t="s">
        <v>518</v>
      </c>
      <c r="K12" t="s">
        <v>519</v>
      </c>
      <c r="L12">
        <v>1368</v>
      </c>
      <c r="N12">
        <v>1011</v>
      </c>
      <c r="O12" t="s">
        <v>515</v>
      </c>
      <c r="P12" t="s">
        <v>515</v>
      </c>
      <c r="Q12">
        <v>1</v>
      </c>
      <c r="X12">
        <v>26.7</v>
      </c>
      <c r="Y12">
        <v>0</v>
      </c>
      <c r="Z12">
        <v>1703.3</v>
      </c>
      <c r="AA12">
        <v>658.94</v>
      </c>
      <c r="AB12">
        <v>0</v>
      </c>
      <c r="AC12">
        <v>0</v>
      </c>
      <c r="AD12">
        <v>1</v>
      </c>
      <c r="AE12">
        <v>0</v>
      </c>
      <c r="AF12" t="s">
        <v>79</v>
      </c>
      <c r="AG12">
        <v>21.36</v>
      </c>
      <c r="AH12">
        <v>2</v>
      </c>
      <c r="AI12">
        <v>65171013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ROW(Source!A63)</f>
        <v>63</v>
      </c>
      <c r="B13">
        <v>65171022</v>
      </c>
      <c r="C13">
        <v>65171009</v>
      </c>
      <c r="D13">
        <v>56572833</v>
      </c>
      <c r="E13">
        <v>1</v>
      </c>
      <c r="F13">
        <v>1</v>
      </c>
      <c r="G13">
        <v>1</v>
      </c>
      <c r="H13">
        <v>2</v>
      </c>
      <c r="I13" t="s">
        <v>520</v>
      </c>
      <c r="J13" t="s">
        <v>521</v>
      </c>
      <c r="K13" t="s">
        <v>522</v>
      </c>
      <c r="L13">
        <v>1368</v>
      </c>
      <c r="N13">
        <v>1011</v>
      </c>
      <c r="O13" t="s">
        <v>515</v>
      </c>
      <c r="P13" t="s">
        <v>515</v>
      </c>
      <c r="Q13">
        <v>1</v>
      </c>
      <c r="X13">
        <v>9.7100000000000009</v>
      </c>
      <c r="Y13">
        <v>0</v>
      </c>
      <c r="Z13">
        <v>477.92</v>
      </c>
      <c r="AA13">
        <v>490.55</v>
      </c>
      <c r="AB13">
        <v>0</v>
      </c>
      <c r="AC13">
        <v>0</v>
      </c>
      <c r="AD13">
        <v>1</v>
      </c>
      <c r="AE13">
        <v>0</v>
      </c>
      <c r="AF13" t="s">
        <v>79</v>
      </c>
      <c r="AG13">
        <v>7.7680000000000007</v>
      </c>
      <c r="AH13">
        <v>2</v>
      </c>
      <c r="AI13">
        <v>65171014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ROW(Source!A63)</f>
        <v>63</v>
      </c>
      <c r="B14">
        <v>65171023</v>
      </c>
      <c r="C14">
        <v>65171009</v>
      </c>
      <c r="D14">
        <v>56218682</v>
      </c>
      <c r="E14">
        <v>108</v>
      </c>
      <c r="F14">
        <v>1</v>
      </c>
      <c r="G14">
        <v>1</v>
      </c>
      <c r="H14">
        <v>3</v>
      </c>
      <c r="I14" t="s">
        <v>524</v>
      </c>
      <c r="J14" t="s">
        <v>3</v>
      </c>
      <c r="K14" t="s">
        <v>525</v>
      </c>
      <c r="L14">
        <v>1339</v>
      </c>
      <c r="N14">
        <v>1007</v>
      </c>
      <c r="O14" t="s">
        <v>129</v>
      </c>
      <c r="P14" t="s">
        <v>129</v>
      </c>
      <c r="Q14">
        <v>1</v>
      </c>
      <c r="X14">
        <v>0.47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 t="s">
        <v>78</v>
      </c>
      <c r="AG14">
        <v>0</v>
      </c>
      <c r="AH14">
        <v>2</v>
      </c>
      <c r="AI14">
        <v>65171015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ROW(Source!A63)</f>
        <v>63</v>
      </c>
      <c r="B15">
        <v>65171024</v>
      </c>
      <c r="C15">
        <v>65171009</v>
      </c>
      <c r="D15">
        <v>56584225</v>
      </c>
      <c r="E15">
        <v>1</v>
      </c>
      <c r="F15">
        <v>1</v>
      </c>
      <c r="G15">
        <v>1</v>
      </c>
      <c r="H15">
        <v>3</v>
      </c>
      <c r="I15" t="s">
        <v>527</v>
      </c>
      <c r="J15" t="s">
        <v>528</v>
      </c>
      <c r="K15" t="s">
        <v>529</v>
      </c>
      <c r="L15">
        <v>1339</v>
      </c>
      <c r="N15">
        <v>1007</v>
      </c>
      <c r="O15" t="s">
        <v>129</v>
      </c>
      <c r="P15" t="s">
        <v>129</v>
      </c>
      <c r="Q15">
        <v>1</v>
      </c>
      <c r="X15">
        <v>2.95</v>
      </c>
      <c r="Y15">
        <v>3778.62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78</v>
      </c>
      <c r="AG15">
        <v>0</v>
      </c>
      <c r="AH15">
        <v>2</v>
      </c>
      <c r="AI15">
        <v>65171016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ROW(Source!A63)</f>
        <v>63</v>
      </c>
      <c r="B16">
        <v>65171025</v>
      </c>
      <c r="C16">
        <v>65171009</v>
      </c>
      <c r="D16">
        <v>56219261</v>
      </c>
      <c r="E16">
        <v>108</v>
      </c>
      <c r="F16">
        <v>1</v>
      </c>
      <c r="G16">
        <v>1</v>
      </c>
      <c r="H16">
        <v>3</v>
      </c>
      <c r="I16" t="s">
        <v>530</v>
      </c>
      <c r="J16" t="s">
        <v>3</v>
      </c>
      <c r="K16" t="s">
        <v>531</v>
      </c>
      <c r="L16">
        <v>1371</v>
      </c>
      <c r="N16">
        <v>1013</v>
      </c>
      <c r="O16" t="s">
        <v>220</v>
      </c>
      <c r="P16" t="s">
        <v>220</v>
      </c>
      <c r="Q16">
        <v>1</v>
      </c>
      <c r="X16">
        <v>100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 t="s">
        <v>78</v>
      </c>
      <c r="AG16">
        <v>0</v>
      </c>
      <c r="AH16">
        <v>2</v>
      </c>
      <c r="AI16">
        <v>65171017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ROW(Source!A64)</f>
        <v>64</v>
      </c>
      <c r="B17">
        <v>65171049</v>
      </c>
      <c r="C17">
        <v>65171026</v>
      </c>
      <c r="D17">
        <v>37070495</v>
      </c>
      <c r="E17">
        <v>108</v>
      </c>
      <c r="F17">
        <v>1</v>
      </c>
      <c r="G17">
        <v>1</v>
      </c>
      <c r="H17">
        <v>1</v>
      </c>
      <c r="I17" t="s">
        <v>507</v>
      </c>
      <c r="J17" t="s">
        <v>3</v>
      </c>
      <c r="K17" t="s">
        <v>508</v>
      </c>
      <c r="L17">
        <v>1191</v>
      </c>
      <c r="N17">
        <v>1013</v>
      </c>
      <c r="O17" t="s">
        <v>509</v>
      </c>
      <c r="P17" t="s">
        <v>509</v>
      </c>
      <c r="Q17">
        <v>1</v>
      </c>
      <c r="X17">
        <v>39.549999999999997</v>
      </c>
      <c r="Y17">
        <v>0</v>
      </c>
      <c r="Z17">
        <v>0</v>
      </c>
      <c r="AA17">
        <v>0</v>
      </c>
      <c r="AB17">
        <v>446.62</v>
      </c>
      <c r="AC17">
        <v>0</v>
      </c>
      <c r="AD17">
        <v>1</v>
      </c>
      <c r="AE17">
        <v>1</v>
      </c>
      <c r="AF17" t="s">
        <v>98</v>
      </c>
      <c r="AG17">
        <v>27.684999999999995</v>
      </c>
      <c r="AH17">
        <v>2</v>
      </c>
      <c r="AI17">
        <v>65171027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ROW(Source!A64)</f>
        <v>64</v>
      </c>
      <c r="B18">
        <v>65171050</v>
      </c>
      <c r="C18">
        <v>65171026</v>
      </c>
      <c r="D18">
        <v>37064876</v>
      </c>
      <c r="E18">
        <v>108</v>
      </c>
      <c r="F18">
        <v>1</v>
      </c>
      <c r="G18">
        <v>1</v>
      </c>
      <c r="H18">
        <v>1</v>
      </c>
      <c r="I18" t="s">
        <v>510</v>
      </c>
      <c r="J18" t="s">
        <v>3</v>
      </c>
      <c r="K18" t="s">
        <v>511</v>
      </c>
      <c r="L18">
        <v>1191</v>
      </c>
      <c r="N18">
        <v>1013</v>
      </c>
      <c r="O18" t="s">
        <v>509</v>
      </c>
      <c r="P18" t="s">
        <v>509</v>
      </c>
      <c r="Q18">
        <v>1</v>
      </c>
      <c r="X18">
        <v>4.01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2</v>
      </c>
      <c r="AF18" t="s">
        <v>98</v>
      </c>
      <c r="AG18">
        <v>2.8069999999999995</v>
      </c>
      <c r="AH18">
        <v>2</v>
      </c>
      <c r="AI18">
        <v>65171028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ROW(Source!A64)</f>
        <v>64</v>
      </c>
      <c r="B19">
        <v>65171051</v>
      </c>
      <c r="C19">
        <v>65171026</v>
      </c>
      <c r="D19">
        <v>56571341</v>
      </c>
      <c r="E19">
        <v>1</v>
      </c>
      <c r="F19">
        <v>1</v>
      </c>
      <c r="G19">
        <v>1</v>
      </c>
      <c r="H19">
        <v>2</v>
      </c>
      <c r="I19" t="s">
        <v>534</v>
      </c>
      <c r="J19" t="s">
        <v>535</v>
      </c>
      <c r="K19" t="s">
        <v>536</v>
      </c>
      <c r="L19">
        <v>1368</v>
      </c>
      <c r="N19">
        <v>1011</v>
      </c>
      <c r="O19" t="s">
        <v>515</v>
      </c>
      <c r="P19" t="s">
        <v>515</v>
      </c>
      <c r="Q19">
        <v>1</v>
      </c>
      <c r="X19">
        <v>0.1</v>
      </c>
      <c r="Y19">
        <v>0</v>
      </c>
      <c r="Z19">
        <v>1803.79</v>
      </c>
      <c r="AA19">
        <v>658.94</v>
      </c>
      <c r="AB19">
        <v>0</v>
      </c>
      <c r="AC19">
        <v>0</v>
      </c>
      <c r="AD19">
        <v>1</v>
      </c>
      <c r="AE19">
        <v>0</v>
      </c>
      <c r="AF19" t="s">
        <v>98</v>
      </c>
      <c r="AG19">
        <v>6.9999999999999993E-2</v>
      </c>
      <c r="AH19">
        <v>2</v>
      </c>
      <c r="AI19">
        <v>65171029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ROW(Source!A64)</f>
        <v>64</v>
      </c>
      <c r="B20">
        <v>65171052</v>
      </c>
      <c r="C20">
        <v>65171026</v>
      </c>
      <c r="D20">
        <v>56571417</v>
      </c>
      <c r="E20">
        <v>1</v>
      </c>
      <c r="F20">
        <v>1</v>
      </c>
      <c r="G20">
        <v>1</v>
      </c>
      <c r="H20">
        <v>2</v>
      </c>
      <c r="I20" t="s">
        <v>512</v>
      </c>
      <c r="J20" t="s">
        <v>513</v>
      </c>
      <c r="K20" t="s">
        <v>514</v>
      </c>
      <c r="L20">
        <v>1368</v>
      </c>
      <c r="N20">
        <v>1011</v>
      </c>
      <c r="O20" t="s">
        <v>515</v>
      </c>
      <c r="P20" t="s">
        <v>515</v>
      </c>
      <c r="Q20">
        <v>1</v>
      </c>
      <c r="X20">
        <v>0.12</v>
      </c>
      <c r="Y20">
        <v>0</v>
      </c>
      <c r="Z20">
        <v>1551.19</v>
      </c>
      <c r="AA20">
        <v>658.94</v>
      </c>
      <c r="AB20">
        <v>0</v>
      </c>
      <c r="AC20">
        <v>0</v>
      </c>
      <c r="AD20">
        <v>1</v>
      </c>
      <c r="AE20">
        <v>0</v>
      </c>
      <c r="AF20" t="s">
        <v>98</v>
      </c>
      <c r="AG20">
        <v>8.3999999999999991E-2</v>
      </c>
      <c r="AH20">
        <v>2</v>
      </c>
      <c r="AI20">
        <v>65171030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ROW(Source!A64)</f>
        <v>64</v>
      </c>
      <c r="B21">
        <v>65171053</v>
      </c>
      <c r="C21">
        <v>65171026</v>
      </c>
      <c r="D21">
        <v>56571433</v>
      </c>
      <c r="E21">
        <v>1</v>
      </c>
      <c r="F21">
        <v>1</v>
      </c>
      <c r="G21">
        <v>1</v>
      </c>
      <c r="H21">
        <v>2</v>
      </c>
      <c r="I21" t="s">
        <v>517</v>
      </c>
      <c r="J21" t="s">
        <v>518</v>
      </c>
      <c r="K21" t="s">
        <v>519</v>
      </c>
      <c r="L21">
        <v>1368</v>
      </c>
      <c r="N21">
        <v>1011</v>
      </c>
      <c r="O21" t="s">
        <v>515</v>
      </c>
      <c r="P21" t="s">
        <v>515</v>
      </c>
      <c r="Q21">
        <v>1</v>
      </c>
      <c r="X21">
        <v>3.6</v>
      </c>
      <c r="Y21">
        <v>0</v>
      </c>
      <c r="Z21">
        <v>1703.3</v>
      </c>
      <c r="AA21">
        <v>658.94</v>
      </c>
      <c r="AB21">
        <v>0</v>
      </c>
      <c r="AC21">
        <v>0</v>
      </c>
      <c r="AD21">
        <v>1</v>
      </c>
      <c r="AE21">
        <v>0</v>
      </c>
      <c r="AF21" t="s">
        <v>98</v>
      </c>
      <c r="AG21">
        <v>2.52</v>
      </c>
      <c r="AH21">
        <v>2</v>
      </c>
      <c r="AI21">
        <v>65171031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ROW(Source!A64)</f>
        <v>64</v>
      </c>
      <c r="B22">
        <v>65171054</v>
      </c>
      <c r="C22">
        <v>65171026</v>
      </c>
      <c r="D22">
        <v>56572833</v>
      </c>
      <c r="E22">
        <v>1</v>
      </c>
      <c r="F22">
        <v>1</v>
      </c>
      <c r="G22">
        <v>1</v>
      </c>
      <c r="H22">
        <v>2</v>
      </c>
      <c r="I22" t="s">
        <v>520</v>
      </c>
      <c r="J22" t="s">
        <v>521</v>
      </c>
      <c r="K22" t="s">
        <v>522</v>
      </c>
      <c r="L22">
        <v>1368</v>
      </c>
      <c r="N22">
        <v>1011</v>
      </c>
      <c r="O22" t="s">
        <v>515</v>
      </c>
      <c r="P22" t="s">
        <v>515</v>
      </c>
      <c r="Q22">
        <v>1</v>
      </c>
      <c r="X22">
        <v>0.19</v>
      </c>
      <c r="Y22">
        <v>0</v>
      </c>
      <c r="Z22">
        <v>477.92</v>
      </c>
      <c r="AA22">
        <v>490.55</v>
      </c>
      <c r="AB22">
        <v>0</v>
      </c>
      <c r="AC22">
        <v>0</v>
      </c>
      <c r="AD22">
        <v>1</v>
      </c>
      <c r="AE22">
        <v>0</v>
      </c>
      <c r="AF22" t="s">
        <v>98</v>
      </c>
      <c r="AG22">
        <v>0.13299999999999998</v>
      </c>
      <c r="AH22">
        <v>2</v>
      </c>
      <c r="AI22">
        <v>65171032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ROW(Source!A64)</f>
        <v>64</v>
      </c>
      <c r="B23">
        <v>65171055</v>
      </c>
      <c r="C23">
        <v>65171026</v>
      </c>
      <c r="D23">
        <v>56573083</v>
      </c>
      <c r="E23">
        <v>1</v>
      </c>
      <c r="F23">
        <v>1</v>
      </c>
      <c r="G23">
        <v>1</v>
      </c>
      <c r="H23">
        <v>2</v>
      </c>
      <c r="I23" t="s">
        <v>537</v>
      </c>
      <c r="J23" t="s">
        <v>538</v>
      </c>
      <c r="K23" t="s">
        <v>539</v>
      </c>
      <c r="L23">
        <v>1368</v>
      </c>
      <c r="N23">
        <v>1011</v>
      </c>
      <c r="O23" t="s">
        <v>515</v>
      </c>
      <c r="P23" t="s">
        <v>515</v>
      </c>
      <c r="Q23">
        <v>1</v>
      </c>
      <c r="X23">
        <v>1.46</v>
      </c>
      <c r="Y23">
        <v>0</v>
      </c>
      <c r="Z23">
        <v>4.3499999999999996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98</v>
      </c>
      <c r="AG23">
        <v>1.022</v>
      </c>
      <c r="AH23">
        <v>2</v>
      </c>
      <c r="AI23">
        <v>65171033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ROW(Source!A64)</f>
        <v>64</v>
      </c>
      <c r="B24">
        <v>65171056</v>
      </c>
      <c r="C24">
        <v>65171026</v>
      </c>
      <c r="D24">
        <v>56573131</v>
      </c>
      <c r="E24">
        <v>1</v>
      </c>
      <c r="F24">
        <v>1</v>
      </c>
      <c r="G24">
        <v>1</v>
      </c>
      <c r="H24">
        <v>2</v>
      </c>
      <c r="I24" t="s">
        <v>540</v>
      </c>
      <c r="J24" t="s">
        <v>541</v>
      </c>
      <c r="K24" t="s">
        <v>542</v>
      </c>
      <c r="L24">
        <v>1368</v>
      </c>
      <c r="N24">
        <v>1011</v>
      </c>
      <c r="O24" t="s">
        <v>515</v>
      </c>
      <c r="P24" t="s">
        <v>515</v>
      </c>
      <c r="Q24">
        <v>1</v>
      </c>
      <c r="X24">
        <v>0.1</v>
      </c>
      <c r="Y24">
        <v>0</v>
      </c>
      <c r="Z24">
        <v>61.72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98</v>
      </c>
      <c r="AG24">
        <v>6.9999999999999993E-2</v>
      </c>
      <c r="AH24">
        <v>2</v>
      </c>
      <c r="AI24">
        <v>65171034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ROW(Source!A64)</f>
        <v>64</v>
      </c>
      <c r="B25">
        <v>65171057</v>
      </c>
      <c r="C25">
        <v>65171026</v>
      </c>
      <c r="D25">
        <v>56574903</v>
      </c>
      <c r="E25">
        <v>1</v>
      </c>
      <c r="F25">
        <v>1</v>
      </c>
      <c r="G25">
        <v>1</v>
      </c>
      <c r="H25">
        <v>3</v>
      </c>
      <c r="I25" t="s">
        <v>543</v>
      </c>
      <c r="J25" t="s">
        <v>544</v>
      </c>
      <c r="K25" t="s">
        <v>545</v>
      </c>
      <c r="L25">
        <v>1339</v>
      </c>
      <c r="N25">
        <v>1007</v>
      </c>
      <c r="O25" t="s">
        <v>129</v>
      </c>
      <c r="P25" t="s">
        <v>129</v>
      </c>
      <c r="Q25">
        <v>1</v>
      </c>
      <c r="X25">
        <v>1.2</v>
      </c>
      <c r="Y25">
        <v>114.64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97</v>
      </c>
      <c r="AG25">
        <v>0</v>
      </c>
      <c r="AH25">
        <v>2</v>
      </c>
      <c r="AI25">
        <v>65171035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ROW(Source!A64)</f>
        <v>64</v>
      </c>
      <c r="B26">
        <v>65171058</v>
      </c>
      <c r="C26">
        <v>65171026</v>
      </c>
      <c r="D26">
        <v>56574909</v>
      </c>
      <c r="E26">
        <v>1</v>
      </c>
      <c r="F26">
        <v>1</v>
      </c>
      <c r="G26">
        <v>1</v>
      </c>
      <c r="H26">
        <v>3</v>
      </c>
      <c r="I26" t="s">
        <v>546</v>
      </c>
      <c r="J26" t="s">
        <v>547</v>
      </c>
      <c r="K26" t="s">
        <v>548</v>
      </c>
      <c r="L26">
        <v>1346</v>
      </c>
      <c r="N26">
        <v>1009</v>
      </c>
      <c r="O26" t="s">
        <v>549</v>
      </c>
      <c r="P26" t="s">
        <v>549</v>
      </c>
      <c r="Q26">
        <v>1</v>
      </c>
      <c r="X26">
        <v>0.36</v>
      </c>
      <c r="Y26">
        <v>41.38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97</v>
      </c>
      <c r="AG26">
        <v>0</v>
      </c>
      <c r="AH26">
        <v>2</v>
      </c>
      <c r="AI26">
        <v>65171036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ROW(Source!A64)</f>
        <v>64</v>
      </c>
      <c r="B27">
        <v>65171059</v>
      </c>
      <c r="C27">
        <v>65171026</v>
      </c>
      <c r="D27">
        <v>56579266</v>
      </c>
      <c r="E27">
        <v>1</v>
      </c>
      <c r="F27">
        <v>1</v>
      </c>
      <c r="G27">
        <v>1</v>
      </c>
      <c r="H27">
        <v>3</v>
      </c>
      <c r="I27" t="s">
        <v>550</v>
      </c>
      <c r="J27" t="s">
        <v>551</v>
      </c>
      <c r="K27" t="s">
        <v>552</v>
      </c>
      <c r="L27">
        <v>1346</v>
      </c>
      <c r="N27">
        <v>1009</v>
      </c>
      <c r="O27" t="s">
        <v>549</v>
      </c>
      <c r="P27" t="s">
        <v>549</v>
      </c>
      <c r="Q27">
        <v>1</v>
      </c>
      <c r="X27">
        <v>0.44</v>
      </c>
      <c r="Y27">
        <v>155.63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97</v>
      </c>
      <c r="AG27">
        <v>0</v>
      </c>
      <c r="AH27">
        <v>2</v>
      </c>
      <c r="AI27">
        <v>65171037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ROW(Source!A64)</f>
        <v>64</v>
      </c>
      <c r="B28">
        <v>65171060</v>
      </c>
      <c r="C28">
        <v>65171026</v>
      </c>
      <c r="D28">
        <v>56580368</v>
      </c>
      <c r="E28">
        <v>1</v>
      </c>
      <c r="F28">
        <v>1</v>
      </c>
      <c r="G28">
        <v>1</v>
      </c>
      <c r="H28">
        <v>3</v>
      </c>
      <c r="I28" t="s">
        <v>553</v>
      </c>
      <c r="J28" t="s">
        <v>554</v>
      </c>
      <c r="K28" t="s">
        <v>555</v>
      </c>
      <c r="L28">
        <v>1346</v>
      </c>
      <c r="N28">
        <v>1009</v>
      </c>
      <c r="O28" t="s">
        <v>549</v>
      </c>
      <c r="P28" t="s">
        <v>549</v>
      </c>
      <c r="Q28">
        <v>1</v>
      </c>
      <c r="X28">
        <v>21</v>
      </c>
      <c r="Y28">
        <v>174.93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97</v>
      </c>
      <c r="AG28">
        <v>0</v>
      </c>
      <c r="AH28">
        <v>2</v>
      </c>
      <c r="AI28">
        <v>65171038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ROW(Source!A64)</f>
        <v>64</v>
      </c>
      <c r="B29">
        <v>65171061</v>
      </c>
      <c r="C29">
        <v>65171026</v>
      </c>
      <c r="D29">
        <v>56580463</v>
      </c>
      <c r="E29">
        <v>1</v>
      </c>
      <c r="F29">
        <v>1</v>
      </c>
      <c r="G29">
        <v>1</v>
      </c>
      <c r="H29">
        <v>3</v>
      </c>
      <c r="I29" t="s">
        <v>556</v>
      </c>
      <c r="J29" t="s">
        <v>557</v>
      </c>
      <c r="K29" t="s">
        <v>558</v>
      </c>
      <c r="L29">
        <v>1348</v>
      </c>
      <c r="N29">
        <v>1009</v>
      </c>
      <c r="O29" t="s">
        <v>94</v>
      </c>
      <c r="P29" t="s">
        <v>94</v>
      </c>
      <c r="Q29">
        <v>1000</v>
      </c>
      <c r="X29">
        <v>1.0000000000000001E-5</v>
      </c>
      <c r="Y29">
        <v>70296.2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97</v>
      </c>
      <c r="AG29">
        <v>0</v>
      </c>
      <c r="AH29">
        <v>2</v>
      </c>
      <c r="AI29">
        <v>65171039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ROW(Source!A64)</f>
        <v>64</v>
      </c>
      <c r="B30">
        <v>65171062</v>
      </c>
      <c r="C30">
        <v>65171026</v>
      </c>
      <c r="D30">
        <v>56582411</v>
      </c>
      <c r="E30">
        <v>1</v>
      </c>
      <c r="F30">
        <v>1</v>
      </c>
      <c r="G30">
        <v>1</v>
      </c>
      <c r="H30">
        <v>3</v>
      </c>
      <c r="I30" t="s">
        <v>559</v>
      </c>
      <c r="J30" t="s">
        <v>560</v>
      </c>
      <c r="K30" t="s">
        <v>561</v>
      </c>
      <c r="L30">
        <v>1348</v>
      </c>
      <c r="N30">
        <v>1009</v>
      </c>
      <c r="O30" t="s">
        <v>94</v>
      </c>
      <c r="P30" t="s">
        <v>94</v>
      </c>
      <c r="Q30">
        <v>1000</v>
      </c>
      <c r="X30">
        <v>1E-4</v>
      </c>
      <c r="Y30">
        <v>231787.35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97</v>
      </c>
      <c r="AG30">
        <v>0</v>
      </c>
      <c r="AH30">
        <v>2</v>
      </c>
      <c r="AI30">
        <v>65171040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ROW(Source!A64)</f>
        <v>64</v>
      </c>
      <c r="B31">
        <v>65171063</v>
      </c>
      <c r="C31">
        <v>65171026</v>
      </c>
      <c r="D31">
        <v>56219768</v>
      </c>
      <c r="E31">
        <v>108</v>
      </c>
      <c r="F31">
        <v>1</v>
      </c>
      <c r="G31">
        <v>1</v>
      </c>
      <c r="H31">
        <v>3</v>
      </c>
      <c r="I31" t="s">
        <v>562</v>
      </c>
      <c r="J31" t="s">
        <v>3</v>
      </c>
      <c r="K31" t="s">
        <v>563</v>
      </c>
      <c r="L31">
        <v>1348</v>
      </c>
      <c r="N31">
        <v>1009</v>
      </c>
      <c r="O31" t="s">
        <v>94</v>
      </c>
      <c r="P31" t="s">
        <v>94</v>
      </c>
      <c r="Q31">
        <v>1000</v>
      </c>
      <c r="X31">
        <v>1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 t="s">
        <v>97</v>
      </c>
      <c r="AG31">
        <v>0</v>
      </c>
      <c r="AH31">
        <v>2</v>
      </c>
      <c r="AI31">
        <v>65171041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ROW(Source!A64)</f>
        <v>64</v>
      </c>
      <c r="B32">
        <v>65171064</v>
      </c>
      <c r="C32">
        <v>65171026</v>
      </c>
      <c r="D32">
        <v>56588934</v>
      </c>
      <c r="E32">
        <v>1</v>
      </c>
      <c r="F32">
        <v>1</v>
      </c>
      <c r="G32">
        <v>1</v>
      </c>
      <c r="H32">
        <v>3</v>
      </c>
      <c r="I32" t="s">
        <v>564</v>
      </c>
      <c r="J32" t="s">
        <v>565</v>
      </c>
      <c r="K32" t="s">
        <v>566</v>
      </c>
      <c r="L32">
        <v>1348</v>
      </c>
      <c r="N32">
        <v>1009</v>
      </c>
      <c r="O32" t="s">
        <v>94</v>
      </c>
      <c r="P32" t="s">
        <v>94</v>
      </c>
      <c r="Q32">
        <v>1000</v>
      </c>
      <c r="X32">
        <v>2.0000000000000001E-4</v>
      </c>
      <c r="Y32">
        <v>105278.81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97</v>
      </c>
      <c r="AG32">
        <v>0</v>
      </c>
      <c r="AH32">
        <v>2</v>
      </c>
      <c r="AI32">
        <v>65171042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ROW(Source!A64)</f>
        <v>64</v>
      </c>
      <c r="B33">
        <v>65171065</v>
      </c>
      <c r="C33">
        <v>65171026</v>
      </c>
      <c r="D33">
        <v>56592211</v>
      </c>
      <c r="E33">
        <v>1</v>
      </c>
      <c r="F33">
        <v>1</v>
      </c>
      <c r="G33">
        <v>1</v>
      </c>
      <c r="H33">
        <v>3</v>
      </c>
      <c r="I33" t="s">
        <v>567</v>
      </c>
      <c r="J33" t="s">
        <v>568</v>
      </c>
      <c r="K33" t="s">
        <v>569</v>
      </c>
      <c r="L33">
        <v>1302</v>
      </c>
      <c r="N33">
        <v>1003</v>
      </c>
      <c r="O33" t="s">
        <v>570</v>
      </c>
      <c r="P33" t="s">
        <v>570</v>
      </c>
      <c r="Q33">
        <v>10</v>
      </c>
      <c r="X33">
        <v>1.8700000000000001E-2</v>
      </c>
      <c r="Y33">
        <v>307.83999999999997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97</v>
      </c>
      <c r="AG33">
        <v>0</v>
      </c>
      <c r="AH33">
        <v>2</v>
      </c>
      <c r="AI33">
        <v>65171043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ROW(Source!A64)</f>
        <v>64</v>
      </c>
      <c r="B34">
        <v>65171066</v>
      </c>
      <c r="C34">
        <v>65171026</v>
      </c>
      <c r="D34">
        <v>56592477</v>
      </c>
      <c r="E34">
        <v>1</v>
      </c>
      <c r="F34">
        <v>1</v>
      </c>
      <c r="G34">
        <v>1</v>
      </c>
      <c r="H34">
        <v>3</v>
      </c>
      <c r="I34" t="s">
        <v>571</v>
      </c>
      <c r="J34" t="s">
        <v>572</v>
      </c>
      <c r="K34" t="s">
        <v>573</v>
      </c>
      <c r="L34">
        <v>1348</v>
      </c>
      <c r="N34">
        <v>1009</v>
      </c>
      <c r="O34" t="s">
        <v>94</v>
      </c>
      <c r="P34" t="s">
        <v>94</v>
      </c>
      <c r="Q34">
        <v>1000</v>
      </c>
      <c r="X34">
        <v>3.0000000000000001E-5</v>
      </c>
      <c r="Y34">
        <v>60258.2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97</v>
      </c>
      <c r="AG34">
        <v>0</v>
      </c>
      <c r="AH34">
        <v>2</v>
      </c>
      <c r="AI34">
        <v>65171044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ROW(Source!A64)</f>
        <v>64</v>
      </c>
      <c r="B35">
        <v>65171067</v>
      </c>
      <c r="C35">
        <v>65171026</v>
      </c>
      <c r="D35">
        <v>56593339</v>
      </c>
      <c r="E35">
        <v>1</v>
      </c>
      <c r="F35">
        <v>1</v>
      </c>
      <c r="G35">
        <v>1</v>
      </c>
      <c r="H35">
        <v>3</v>
      </c>
      <c r="I35" t="s">
        <v>574</v>
      </c>
      <c r="J35" t="s">
        <v>575</v>
      </c>
      <c r="K35" t="s">
        <v>576</v>
      </c>
      <c r="L35">
        <v>1348</v>
      </c>
      <c r="N35">
        <v>1009</v>
      </c>
      <c r="O35" t="s">
        <v>94</v>
      </c>
      <c r="P35" t="s">
        <v>94</v>
      </c>
      <c r="Q35">
        <v>1000</v>
      </c>
      <c r="X35">
        <v>1.9400000000000001E-3</v>
      </c>
      <c r="Y35">
        <v>136760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97</v>
      </c>
      <c r="AG35">
        <v>0</v>
      </c>
      <c r="AH35">
        <v>2</v>
      </c>
      <c r="AI35">
        <v>65171045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ROW(Source!A64)</f>
        <v>64</v>
      </c>
      <c r="B36">
        <v>65171068</v>
      </c>
      <c r="C36">
        <v>65171026</v>
      </c>
      <c r="D36">
        <v>56595823</v>
      </c>
      <c r="E36">
        <v>1</v>
      </c>
      <c r="F36">
        <v>1</v>
      </c>
      <c r="G36">
        <v>1</v>
      </c>
      <c r="H36">
        <v>3</v>
      </c>
      <c r="I36" t="s">
        <v>577</v>
      </c>
      <c r="J36" t="s">
        <v>578</v>
      </c>
      <c r="K36" t="s">
        <v>579</v>
      </c>
      <c r="L36">
        <v>1339</v>
      </c>
      <c r="N36">
        <v>1007</v>
      </c>
      <c r="O36" t="s">
        <v>129</v>
      </c>
      <c r="P36" t="s">
        <v>129</v>
      </c>
      <c r="Q36">
        <v>1</v>
      </c>
      <c r="X36">
        <v>1.0300000000000001E-3</v>
      </c>
      <c r="Y36">
        <v>16496.03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97</v>
      </c>
      <c r="AG36">
        <v>0</v>
      </c>
      <c r="AH36">
        <v>2</v>
      </c>
      <c r="AI36">
        <v>65171046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ROW(Source!A64)</f>
        <v>64</v>
      </c>
      <c r="B37">
        <v>65171069</v>
      </c>
      <c r="C37">
        <v>65171026</v>
      </c>
      <c r="D37">
        <v>56609935</v>
      </c>
      <c r="E37">
        <v>1</v>
      </c>
      <c r="F37">
        <v>1</v>
      </c>
      <c r="G37">
        <v>1</v>
      </c>
      <c r="H37">
        <v>3</v>
      </c>
      <c r="I37" t="s">
        <v>580</v>
      </c>
      <c r="J37" t="s">
        <v>581</v>
      </c>
      <c r="K37" t="s">
        <v>582</v>
      </c>
      <c r="L37">
        <v>1348</v>
      </c>
      <c r="N37">
        <v>1009</v>
      </c>
      <c r="O37" t="s">
        <v>94</v>
      </c>
      <c r="P37" t="s">
        <v>94</v>
      </c>
      <c r="Q37">
        <v>1000</v>
      </c>
      <c r="X37">
        <v>3.1E-4</v>
      </c>
      <c r="Y37">
        <v>51280.15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97</v>
      </c>
      <c r="AG37">
        <v>0</v>
      </c>
      <c r="AH37">
        <v>2</v>
      </c>
      <c r="AI37">
        <v>65171047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ROW(Source!A64)</f>
        <v>64</v>
      </c>
      <c r="B38">
        <v>65171070</v>
      </c>
      <c r="C38">
        <v>65171026</v>
      </c>
      <c r="D38">
        <v>56610694</v>
      </c>
      <c r="E38">
        <v>1</v>
      </c>
      <c r="F38">
        <v>1</v>
      </c>
      <c r="G38">
        <v>1</v>
      </c>
      <c r="H38">
        <v>3</v>
      </c>
      <c r="I38" t="s">
        <v>583</v>
      </c>
      <c r="J38" t="s">
        <v>584</v>
      </c>
      <c r="K38" t="s">
        <v>585</v>
      </c>
      <c r="L38">
        <v>1348</v>
      </c>
      <c r="N38">
        <v>1009</v>
      </c>
      <c r="O38" t="s">
        <v>94</v>
      </c>
      <c r="P38" t="s">
        <v>94</v>
      </c>
      <c r="Q38">
        <v>1000</v>
      </c>
      <c r="X38">
        <v>5.9999999999999995E-4</v>
      </c>
      <c r="Y38">
        <v>98526.45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97</v>
      </c>
      <c r="AG38">
        <v>0</v>
      </c>
      <c r="AH38">
        <v>2</v>
      </c>
      <c r="AI38">
        <v>65171048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ROW(Source!A65)</f>
        <v>65</v>
      </c>
      <c r="B39">
        <v>65171073</v>
      </c>
      <c r="C39">
        <v>65171071</v>
      </c>
      <c r="D39">
        <v>37064998</v>
      </c>
      <c r="E39">
        <v>108</v>
      </c>
      <c r="F39">
        <v>1</v>
      </c>
      <c r="G39">
        <v>1</v>
      </c>
      <c r="H39">
        <v>1</v>
      </c>
      <c r="I39" t="s">
        <v>586</v>
      </c>
      <c r="J39" t="s">
        <v>3</v>
      </c>
      <c r="K39" t="s">
        <v>587</v>
      </c>
      <c r="L39">
        <v>1191</v>
      </c>
      <c r="N39">
        <v>1013</v>
      </c>
      <c r="O39" t="s">
        <v>509</v>
      </c>
      <c r="P39" t="s">
        <v>509</v>
      </c>
      <c r="Q39">
        <v>1</v>
      </c>
      <c r="X39">
        <v>10.199999999999999</v>
      </c>
      <c r="Y39">
        <v>0</v>
      </c>
      <c r="Z39">
        <v>0</v>
      </c>
      <c r="AA39">
        <v>0</v>
      </c>
      <c r="AB39">
        <v>399.03</v>
      </c>
      <c r="AC39">
        <v>0</v>
      </c>
      <c r="AD39">
        <v>1</v>
      </c>
      <c r="AE39">
        <v>1</v>
      </c>
      <c r="AF39" t="s">
        <v>3</v>
      </c>
      <c r="AG39">
        <v>10.199999999999999</v>
      </c>
      <c r="AH39">
        <v>2</v>
      </c>
      <c r="AI39">
        <v>65171072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ROW(Source!A66)</f>
        <v>66</v>
      </c>
      <c r="B40">
        <v>65171076</v>
      </c>
      <c r="C40">
        <v>65171074</v>
      </c>
      <c r="D40">
        <v>37064998</v>
      </c>
      <c r="E40">
        <v>108</v>
      </c>
      <c r="F40">
        <v>1</v>
      </c>
      <c r="G40">
        <v>1</v>
      </c>
      <c r="H40">
        <v>1</v>
      </c>
      <c r="I40" t="s">
        <v>586</v>
      </c>
      <c r="J40" t="s">
        <v>3</v>
      </c>
      <c r="K40" t="s">
        <v>587</v>
      </c>
      <c r="L40">
        <v>1191</v>
      </c>
      <c r="N40">
        <v>1013</v>
      </c>
      <c r="O40" t="s">
        <v>509</v>
      </c>
      <c r="P40" t="s">
        <v>509</v>
      </c>
      <c r="Q40">
        <v>1</v>
      </c>
      <c r="X40">
        <v>154</v>
      </c>
      <c r="Y40">
        <v>0</v>
      </c>
      <c r="Z40">
        <v>0</v>
      </c>
      <c r="AA40">
        <v>0</v>
      </c>
      <c r="AB40">
        <v>399.03</v>
      </c>
      <c r="AC40">
        <v>0</v>
      </c>
      <c r="AD40">
        <v>1</v>
      </c>
      <c r="AE40">
        <v>1</v>
      </c>
      <c r="AF40" t="s">
        <v>119</v>
      </c>
      <c r="AG40">
        <v>177.1</v>
      </c>
      <c r="AH40">
        <v>2</v>
      </c>
      <c r="AI40">
        <v>65171075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ROW(Source!A67)</f>
        <v>67</v>
      </c>
      <c r="B41">
        <v>65171085</v>
      </c>
      <c r="C41">
        <v>65171077</v>
      </c>
      <c r="D41">
        <v>37068121</v>
      </c>
      <c r="E41">
        <v>108</v>
      </c>
      <c r="F41">
        <v>1</v>
      </c>
      <c r="G41">
        <v>1</v>
      </c>
      <c r="H41">
        <v>1</v>
      </c>
      <c r="I41" t="s">
        <v>588</v>
      </c>
      <c r="J41" t="s">
        <v>3</v>
      </c>
      <c r="K41" t="s">
        <v>589</v>
      </c>
      <c r="L41">
        <v>1191</v>
      </c>
      <c r="N41">
        <v>1013</v>
      </c>
      <c r="O41" t="s">
        <v>509</v>
      </c>
      <c r="P41" t="s">
        <v>509</v>
      </c>
      <c r="Q41">
        <v>1</v>
      </c>
      <c r="X41">
        <v>0.78</v>
      </c>
      <c r="Y41">
        <v>0</v>
      </c>
      <c r="Z41">
        <v>0</v>
      </c>
      <c r="AA41">
        <v>0</v>
      </c>
      <c r="AB41">
        <v>406.35</v>
      </c>
      <c r="AC41">
        <v>0</v>
      </c>
      <c r="AD41">
        <v>1</v>
      </c>
      <c r="AE41">
        <v>1</v>
      </c>
      <c r="AF41" t="s">
        <v>3</v>
      </c>
      <c r="AG41">
        <v>0.78</v>
      </c>
      <c r="AH41">
        <v>2</v>
      </c>
      <c r="AI41">
        <v>65171078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ROW(Source!A67)</f>
        <v>67</v>
      </c>
      <c r="B42">
        <v>65171086</v>
      </c>
      <c r="C42">
        <v>65171077</v>
      </c>
      <c r="D42">
        <v>37064876</v>
      </c>
      <c r="E42">
        <v>108</v>
      </c>
      <c r="F42">
        <v>1</v>
      </c>
      <c r="G42">
        <v>1</v>
      </c>
      <c r="H42">
        <v>1</v>
      </c>
      <c r="I42" t="s">
        <v>510</v>
      </c>
      <c r="J42" t="s">
        <v>3</v>
      </c>
      <c r="K42" t="s">
        <v>511</v>
      </c>
      <c r="L42">
        <v>1191</v>
      </c>
      <c r="N42">
        <v>1013</v>
      </c>
      <c r="O42" t="s">
        <v>509</v>
      </c>
      <c r="P42" t="s">
        <v>509</v>
      </c>
      <c r="Q42">
        <v>1</v>
      </c>
      <c r="X42">
        <v>7.0000000000000007E-2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2</v>
      </c>
      <c r="AF42" t="s">
        <v>3</v>
      </c>
      <c r="AG42">
        <v>7.0000000000000007E-2</v>
      </c>
      <c r="AH42">
        <v>2</v>
      </c>
      <c r="AI42">
        <v>65171079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ROW(Source!A67)</f>
        <v>67</v>
      </c>
      <c r="B43">
        <v>65171087</v>
      </c>
      <c r="C43">
        <v>65171077</v>
      </c>
      <c r="D43">
        <v>56571691</v>
      </c>
      <c r="E43">
        <v>1</v>
      </c>
      <c r="F43">
        <v>1</v>
      </c>
      <c r="G43">
        <v>1</v>
      </c>
      <c r="H43">
        <v>2</v>
      </c>
      <c r="I43" t="s">
        <v>590</v>
      </c>
      <c r="J43" t="s">
        <v>591</v>
      </c>
      <c r="K43" t="s">
        <v>592</v>
      </c>
      <c r="L43">
        <v>1368</v>
      </c>
      <c r="N43">
        <v>1011</v>
      </c>
      <c r="O43" t="s">
        <v>515</v>
      </c>
      <c r="P43" t="s">
        <v>515</v>
      </c>
      <c r="Q43">
        <v>1</v>
      </c>
      <c r="X43">
        <v>7.0000000000000007E-2</v>
      </c>
      <c r="Y43">
        <v>0</v>
      </c>
      <c r="Z43">
        <v>1246.67</v>
      </c>
      <c r="AA43">
        <v>563.76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7.0000000000000007E-2</v>
      </c>
      <c r="AH43">
        <v>2</v>
      </c>
      <c r="AI43">
        <v>65171080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ROW(Source!A67)</f>
        <v>67</v>
      </c>
      <c r="B44">
        <v>65171088</v>
      </c>
      <c r="C44">
        <v>65171077</v>
      </c>
      <c r="D44">
        <v>56572130</v>
      </c>
      <c r="E44">
        <v>1</v>
      </c>
      <c r="F44">
        <v>1</v>
      </c>
      <c r="G44">
        <v>1</v>
      </c>
      <c r="H44">
        <v>2</v>
      </c>
      <c r="I44" t="s">
        <v>594</v>
      </c>
      <c r="J44" t="s">
        <v>595</v>
      </c>
      <c r="K44" t="s">
        <v>596</v>
      </c>
      <c r="L44">
        <v>1368</v>
      </c>
      <c r="N44">
        <v>1011</v>
      </c>
      <c r="O44" t="s">
        <v>515</v>
      </c>
      <c r="P44" t="s">
        <v>515</v>
      </c>
      <c r="Q44">
        <v>1</v>
      </c>
      <c r="X44">
        <v>0.36</v>
      </c>
      <c r="Y44">
        <v>0</v>
      </c>
      <c r="Z44">
        <v>17.21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0.36</v>
      </c>
      <c r="AH44">
        <v>2</v>
      </c>
      <c r="AI44">
        <v>65171081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ROW(Source!A67)</f>
        <v>67</v>
      </c>
      <c r="B45">
        <v>65171089</v>
      </c>
      <c r="C45">
        <v>65171077</v>
      </c>
      <c r="D45">
        <v>56577954</v>
      </c>
      <c r="E45">
        <v>1</v>
      </c>
      <c r="F45">
        <v>1</v>
      </c>
      <c r="G45">
        <v>1</v>
      </c>
      <c r="H45">
        <v>3</v>
      </c>
      <c r="I45" t="s">
        <v>597</v>
      </c>
      <c r="J45" t="s">
        <v>598</v>
      </c>
      <c r="K45" t="s">
        <v>599</v>
      </c>
      <c r="L45">
        <v>1339</v>
      </c>
      <c r="N45">
        <v>1007</v>
      </c>
      <c r="O45" t="s">
        <v>129</v>
      </c>
      <c r="P45" t="s">
        <v>129</v>
      </c>
      <c r="Q45">
        <v>1</v>
      </c>
      <c r="X45">
        <v>0.15</v>
      </c>
      <c r="Y45">
        <v>35.71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0.15</v>
      </c>
      <c r="AH45">
        <v>2</v>
      </c>
      <c r="AI45">
        <v>65171082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ROW(Source!A67)</f>
        <v>67</v>
      </c>
      <c r="B46">
        <v>65171090</v>
      </c>
      <c r="C46">
        <v>65171077</v>
      </c>
      <c r="D46">
        <v>56218575</v>
      </c>
      <c r="E46">
        <v>108</v>
      </c>
      <c r="F46">
        <v>1</v>
      </c>
      <c r="G46">
        <v>1</v>
      </c>
      <c r="H46">
        <v>3</v>
      </c>
      <c r="I46" t="s">
        <v>600</v>
      </c>
      <c r="J46" t="s">
        <v>3</v>
      </c>
      <c r="K46" t="s">
        <v>601</v>
      </c>
      <c r="L46">
        <v>1339</v>
      </c>
      <c r="N46">
        <v>1007</v>
      </c>
      <c r="O46" t="s">
        <v>129</v>
      </c>
      <c r="P46" t="s">
        <v>129</v>
      </c>
      <c r="Q46">
        <v>1</v>
      </c>
      <c r="X46">
        <v>1.1000000000000001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3</v>
      </c>
      <c r="AG46">
        <v>1.1000000000000001</v>
      </c>
      <c r="AH46">
        <v>2</v>
      </c>
      <c r="AI46">
        <v>65171083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ROW(Source!A69)</f>
        <v>69</v>
      </c>
      <c r="B47">
        <v>65171100</v>
      </c>
      <c r="C47">
        <v>65171092</v>
      </c>
      <c r="D47">
        <v>37068121</v>
      </c>
      <c r="E47">
        <v>108</v>
      </c>
      <c r="F47">
        <v>1</v>
      </c>
      <c r="G47">
        <v>1</v>
      </c>
      <c r="H47">
        <v>1</v>
      </c>
      <c r="I47" t="s">
        <v>588</v>
      </c>
      <c r="J47" t="s">
        <v>3</v>
      </c>
      <c r="K47" t="s">
        <v>589</v>
      </c>
      <c r="L47">
        <v>1191</v>
      </c>
      <c r="N47">
        <v>1013</v>
      </c>
      <c r="O47" t="s">
        <v>509</v>
      </c>
      <c r="P47" t="s">
        <v>509</v>
      </c>
      <c r="Q47">
        <v>1</v>
      </c>
      <c r="X47">
        <v>0.85</v>
      </c>
      <c r="Y47">
        <v>0</v>
      </c>
      <c r="Z47">
        <v>0</v>
      </c>
      <c r="AA47">
        <v>0</v>
      </c>
      <c r="AB47">
        <v>406.35</v>
      </c>
      <c r="AC47">
        <v>0</v>
      </c>
      <c r="AD47">
        <v>1</v>
      </c>
      <c r="AE47">
        <v>1</v>
      </c>
      <c r="AF47" t="s">
        <v>3</v>
      </c>
      <c r="AG47">
        <v>0.85</v>
      </c>
      <c r="AH47">
        <v>2</v>
      </c>
      <c r="AI47">
        <v>65171093</v>
      </c>
      <c r="AJ47">
        <v>48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ROW(Source!A69)</f>
        <v>69</v>
      </c>
      <c r="B48">
        <v>65171101</v>
      </c>
      <c r="C48">
        <v>65171092</v>
      </c>
      <c r="D48">
        <v>37064876</v>
      </c>
      <c r="E48">
        <v>108</v>
      </c>
      <c r="F48">
        <v>1</v>
      </c>
      <c r="G48">
        <v>1</v>
      </c>
      <c r="H48">
        <v>1</v>
      </c>
      <c r="I48" t="s">
        <v>510</v>
      </c>
      <c r="J48" t="s">
        <v>3</v>
      </c>
      <c r="K48" t="s">
        <v>511</v>
      </c>
      <c r="L48">
        <v>1191</v>
      </c>
      <c r="N48">
        <v>1013</v>
      </c>
      <c r="O48" t="s">
        <v>509</v>
      </c>
      <c r="P48" t="s">
        <v>509</v>
      </c>
      <c r="Q48">
        <v>1</v>
      </c>
      <c r="X48">
        <v>7.0000000000000007E-2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3</v>
      </c>
      <c r="AG48">
        <v>7.0000000000000007E-2</v>
      </c>
      <c r="AH48">
        <v>2</v>
      </c>
      <c r="AI48">
        <v>65171094</v>
      </c>
      <c r="AJ48">
        <v>49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ROW(Source!A69)</f>
        <v>69</v>
      </c>
      <c r="B49">
        <v>65171102</v>
      </c>
      <c r="C49">
        <v>65171092</v>
      </c>
      <c r="D49">
        <v>56571691</v>
      </c>
      <c r="E49">
        <v>1</v>
      </c>
      <c r="F49">
        <v>1</v>
      </c>
      <c r="G49">
        <v>1</v>
      </c>
      <c r="H49">
        <v>2</v>
      </c>
      <c r="I49" t="s">
        <v>590</v>
      </c>
      <c r="J49" t="s">
        <v>591</v>
      </c>
      <c r="K49" t="s">
        <v>592</v>
      </c>
      <c r="L49">
        <v>1368</v>
      </c>
      <c r="N49">
        <v>1011</v>
      </c>
      <c r="O49" t="s">
        <v>515</v>
      </c>
      <c r="P49" t="s">
        <v>515</v>
      </c>
      <c r="Q49">
        <v>1</v>
      </c>
      <c r="X49">
        <v>7.0000000000000007E-2</v>
      </c>
      <c r="Y49">
        <v>0</v>
      </c>
      <c r="Z49">
        <v>1246.67</v>
      </c>
      <c r="AA49">
        <v>563.76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7.0000000000000007E-2</v>
      </c>
      <c r="AH49">
        <v>2</v>
      </c>
      <c r="AI49">
        <v>65171095</v>
      </c>
      <c r="AJ49">
        <v>50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ROW(Source!A69)</f>
        <v>69</v>
      </c>
      <c r="B50">
        <v>65171103</v>
      </c>
      <c r="C50">
        <v>65171092</v>
      </c>
      <c r="D50">
        <v>56572130</v>
      </c>
      <c r="E50">
        <v>1</v>
      </c>
      <c r="F50">
        <v>1</v>
      </c>
      <c r="G50">
        <v>1</v>
      </c>
      <c r="H50">
        <v>2</v>
      </c>
      <c r="I50" t="s">
        <v>594</v>
      </c>
      <c r="J50" t="s">
        <v>595</v>
      </c>
      <c r="K50" t="s">
        <v>596</v>
      </c>
      <c r="L50">
        <v>1368</v>
      </c>
      <c r="N50">
        <v>1011</v>
      </c>
      <c r="O50" t="s">
        <v>515</v>
      </c>
      <c r="P50" t="s">
        <v>515</v>
      </c>
      <c r="Q50">
        <v>1</v>
      </c>
      <c r="X50">
        <v>0.4</v>
      </c>
      <c r="Y50">
        <v>0</v>
      </c>
      <c r="Z50">
        <v>17.21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0.4</v>
      </c>
      <c r="AH50">
        <v>2</v>
      </c>
      <c r="AI50">
        <v>65171096</v>
      </c>
      <c r="AJ50">
        <v>51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ROW(Source!A69)</f>
        <v>69</v>
      </c>
      <c r="B51">
        <v>65171104</v>
      </c>
      <c r="C51">
        <v>65171092</v>
      </c>
      <c r="D51">
        <v>56577954</v>
      </c>
      <c r="E51">
        <v>1</v>
      </c>
      <c r="F51">
        <v>1</v>
      </c>
      <c r="G51">
        <v>1</v>
      </c>
      <c r="H51">
        <v>3</v>
      </c>
      <c r="I51" t="s">
        <v>597</v>
      </c>
      <c r="J51" t="s">
        <v>598</v>
      </c>
      <c r="K51" t="s">
        <v>599</v>
      </c>
      <c r="L51">
        <v>1339</v>
      </c>
      <c r="N51">
        <v>1007</v>
      </c>
      <c r="O51" t="s">
        <v>129</v>
      </c>
      <c r="P51" t="s">
        <v>129</v>
      </c>
      <c r="Q51">
        <v>1</v>
      </c>
      <c r="X51">
        <v>0.15</v>
      </c>
      <c r="Y51">
        <v>35.71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0.15</v>
      </c>
      <c r="AH51">
        <v>2</v>
      </c>
      <c r="AI51">
        <v>65171097</v>
      </c>
      <c r="AJ51">
        <v>52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ROW(Source!A69)</f>
        <v>69</v>
      </c>
      <c r="B52">
        <v>65171105</v>
      </c>
      <c r="C52">
        <v>65171092</v>
      </c>
      <c r="D52">
        <v>56218532</v>
      </c>
      <c r="E52">
        <v>108</v>
      </c>
      <c r="F52">
        <v>1</v>
      </c>
      <c r="G52">
        <v>1</v>
      </c>
      <c r="H52">
        <v>3</v>
      </c>
      <c r="I52" t="s">
        <v>602</v>
      </c>
      <c r="J52" t="s">
        <v>3</v>
      </c>
      <c r="K52" t="s">
        <v>603</v>
      </c>
      <c r="L52">
        <v>1339</v>
      </c>
      <c r="N52">
        <v>1007</v>
      </c>
      <c r="O52" t="s">
        <v>129</v>
      </c>
      <c r="P52" t="s">
        <v>129</v>
      </c>
      <c r="Q52">
        <v>1</v>
      </c>
      <c r="X52">
        <v>1.1499999999999999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3</v>
      </c>
      <c r="AG52">
        <v>1.1499999999999999</v>
      </c>
      <c r="AH52">
        <v>2</v>
      </c>
      <c r="AI52">
        <v>65171098</v>
      </c>
      <c r="AJ52">
        <v>53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ROW(Source!A71)</f>
        <v>71</v>
      </c>
      <c r="B53">
        <v>65171117</v>
      </c>
      <c r="C53">
        <v>65171107</v>
      </c>
      <c r="D53">
        <v>37070495</v>
      </c>
      <c r="E53">
        <v>108</v>
      </c>
      <c r="F53">
        <v>1</v>
      </c>
      <c r="G53">
        <v>1</v>
      </c>
      <c r="H53">
        <v>1</v>
      </c>
      <c r="I53" t="s">
        <v>507</v>
      </c>
      <c r="J53" t="s">
        <v>3</v>
      </c>
      <c r="K53" t="s">
        <v>508</v>
      </c>
      <c r="L53">
        <v>1191</v>
      </c>
      <c r="N53">
        <v>1013</v>
      </c>
      <c r="O53" t="s">
        <v>509</v>
      </c>
      <c r="P53" t="s">
        <v>509</v>
      </c>
      <c r="Q53">
        <v>1</v>
      </c>
      <c r="X53">
        <v>66.8</v>
      </c>
      <c r="Y53">
        <v>0</v>
      </c>
      <c r="Z53">
        <v>0</v>
      </c>
      <c r="AA53">
        <v>0</v>
      </c>
      <c r="AB53">
        <v>446.62</v>
      </c>
      <c r="AC53">
        <v>0</v>
      </c>
      <c r="AD53">
        <v>1</v>
      </c>
      <c r="AE53">
        <v>1</v>
      </c>
      <c r="AF53" t="s">
        <v>3</v>
      </c>
      <c r="AG53">
        <v>66.8</v>
      </c>
      <c r="AH53">
        <v>2</v>
      </c>
      <c r="AI53">
        <v>65171108</v>
      </c>
      <c r="AJ53">
        <v>55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ROW(Source!A71)</f>
        <v>71</v>
      </c>
      <c r="B54">
        <v>65171118</v>
      </c>
      <c r="C54">
        <v>65171107</v>
      </c>
      <c r="D54">
        <v>37064876</v>
      </c>
      <c r="E54">
        <v>108</v>
      </c>
      <c r="F54">
        <v>1</v>
      </c>
      <c r="G54">
        <v>1</v>
      </c>
      <c r="H54">
        <v>1</v>
      </c>
      <c r="I54" t="s">
        <v>510</v>
      </c>
      <c r="J54" t="s">
        <v>3</v>
      </c>
      <c r="K54" t="s">
        <v>511</v>
      </c>
      <c r="L54">
        <v>1191</v>
      </c>
      <c r="N54">
        <v>1013</v>
      </c>
      <c r="O54" t="s">
        <v>509</v>
      </c>
      <c r="P54" t="s">
        <v>509</v>
      </c>
      <c r="Q54">
        <v>1</v>
      </c>
      <c r="X54">
        <v>27.06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2</v>
      </c>
      <c r="AF54" t="s">
        <v>3</v>
      </c>
      <c r="AG54">
        <v>27.06</v>
      </c>
      <c r="AH54">
        <v>2</v>
      </c>
      <c r="AI54">
        <v>65171109</v>
      </c>
      <c r="AJ54">
        <v>56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ROW(Source!A71)</f>
        <v>71</v>
      </c>
      <c r="B55">
        <v>65171119</v>
      </c>
      <c r="C55">
        <v>65171107</v>
      </c>
      <c r="D55">
        <v>56571417</v>
      </c>
      <c r="E55">
        <v>1</v>
      </c>
      <c r="F55">
        <v>1</v>
      </c>
      <c r="G55">
        <v>1</v>
      </c>
      <c r="H55">
        <v>2</v>
      </c>
      <c r="I55" t="s">
        <v>512</v>
      </c>
      <c r="J55" t="s">
        <v>513</v>
      </c>
      <c r="K55" t="s">
        <v>514</v>
      </c>
      <c r="L55">
        <v>1368</v>
      </c>
      <c r="N55">
        <v>1011</v>
      </c>
      <c r="O55" t="s">
        <v>515</v>
      </c>
      <c r="P55" t="s">
        <v>515</v>
      </c>
      <c r="Q55">
        <v>1</v>
      </c>
      <c r="X55">
        <v>3.6</v>
      </c>
      <c r="Y55">
        <v>0</v>
      </c>
      <c r="Z55">
        <v>1551.19</v>
      </c>
      <c r="AA55">
        <v>658.94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3.6</v>
      </c>
      <c r="AH55">
        <v>2</v>
      </c>
      <c r="AI55">
        <v>65171110</v>
      </c>
      <c r="AJ55">
        <v>57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ROW(Source!A71)</f>
        <v>71</v>
      </c>
      <c r="B56">
        <v>65171120</v>
      </c>
      <c r="C56">
        <v>65171107</v>
      </c>
      <c r="D56">
        <v>56571433</v>
      </c>
      <c r="E56">
        <v>1</v>
      </c>
      <c r="F56">
        <v>1</v>
      </c>
      <c r="G56">
        <v>1</v>
      </c>
      <c r="H56">
        <v>2</v>
      </c>
      <c r="I56" t="s">
        <v>517</v>
      </c>
      <c r="J56" t="s">
        <v>518</v>
      </c>
      <c r="K56" t="s">
        <v>519</v>
      </c>
      <c r="L56">
        <v>1368</v>
      </c>
      <c r="N56">
        <v>1011</v>
      </c>
      <c r="O56" t="s">
        <v>515</v>
      </c>
      <c r="P56" t="s">
        <v>515</v>
      </c>
      <c r="Q56">
        <v>1</v>
      </c>
      <c r="X56">
        <v>18.2</v>
      </c>
      <c r="Y56">
        <v>0</v>
      </c>
      <c r="Z56">
        <v>1703.3</v>
      </c>
      <c r="AA56">
        <v>658.94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18.2</v>
      </c>
      <c r="AH56">
        <v>2</v>
      </c>
      <c r="AI56">
        <v>65171111</v>
      </c>
      <c r="AJ56">
        <v>58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ROW(Source!A71)</f>
        <v>71</v>
      </c>
      <c r="B57">
        <v>65171121</v>
      </c>
      <c r="C57">
        <v>65171107</v>
      </c>
      <c r="D57">
        <v>56572833</v>
      </c>
      <c r="E57">
        <v>1</v>
      </c>
      <c r="F57">
        <v>1</v>
      </c>
      <c r="G57">
        <v>1</v>
      </c>
      <c r="H57">
        <v>2</v>
      </c>
      <c r="I57" t="s">
        <v>520</v>
      </c>
      <c r="J57" t="s">
        <v>521</v>
      </c>
      <c r="K57" t="s">
        <v>522</v>
      </c>
      <c r="L57">
        <v>1368</v>
      </c>
      <c r="N57">
        <v>1011</v>
      </c>
      <c r="O57" t="s">
        <v>515</v>
      </c>
      <c r="P57" t="s">
        <v>515</v>
      </c>
      <c r="Q57">
        <v>1</v>
      </c>
      <c r="X57">
        <v>5.26</v>
      </c>
      <c r="Y57">
        <v>0</v>
      </c>
      <c r="Z57">
        <v>477.92</v>
      </c>
      <c r="AA57">
        <v>490.55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5.26</v>
      </c>
      <c r="AH57">
        <v>2</v>
      </c>
      <c r="AI57">
        <v>65171112</v>
      </c>
      <c r="AJ57">
        <v>59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ROW(Source!A71)</f>
        <v>71</v>
      </c>
      <c r="B58">
        <v>65171122</v>
      </c>
      <c r="C58">
        <v>65171107</v>
      </c>
      <c r="D58">
        <v>56218682</v>
      </c>
      <c r="E58">
        <v>108</v>
      </c>
      <c r="F58">
        <v>1</v>
      </c>
      <c r="G58">
        <v>1</v>
      </c>
      <c r="H58">
        <v>3</v>
      </c>
      <c r="I58" t="s">
        <v>524</v>
      </c>
      <c r="J58" t="s">
        <v>3</v>
      </c>
      <c r="K58" t="s">
        <v>525</v>
      </c>
      <c r="L58">
        <v>1339</v>
      </c>
      <c r="N58">
        <v>1007</v>
      </c>
      <c r="O58" t="s">
        <v>129</v>
      </c>
      <c r="P58" t="s">
        <v>129</v>
      </c>
      <c r="Q58">
        <v>1</v>
      </c>
      <c r="X58">
        <v>0.71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 t="s">
        <v>3</v>
      </c>
      <c r="AG58">
        <v>0.71</v>
      </c>
      <c r="AH58">
        <v>2</v>
      </c>
      <c r="AI58">
        <v>65171113</v>
      </c>
      <c r="AJ58">
        <v>60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ROW(Source!A71)</f>
        <v>71</v>
      </c>
      <c r="B59">
        <v>65171123</v>
      </c>
      <c r="C59">
        <v>65171107</v>
      </c>
      <c r="D59">
        <v>56584225</v>
      </c>
      <c r="E59">
        <v>1</v>
      </c>
      <c r="F59">
        <v>1</v>
      </c>
      <c r="G59">
        <v>1</v>
      </c>
      <c r="H59">
        <v>3</v>
      </c>
      <c r="I59" t="s">
        <v>527</v>
      </c>
      <c r="J59" t="s">
        <v>528</v>
      </c>
      <c r="K59" t="s">
        <v>529</v>
      </c>
      <c r="L59">
        <v>1339</v>
      </c>
      <c r="N59">
        <v>1007</v>
      </c>
      <c r="O59" t="s">
        <v>129</v>
      </c>
      <c r="P59" t="s">
        <v>129</v>
      </c>
      <c r="Q59">
        <v>1</v>
      </c>
      <c r="X59">
        <v>1.65</v>
      </c>
      <c r="Y59">
        <v>3778.62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1.65</v>
      </c>
      <c r="AH59">
        <v>2</v>
      </c>
      <c r="AI59">
        <v>65171114</v>
      </c>
      <c r="AJ59">
        <v>61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ROW(Source!A71)</f>
        <v>71</v>
      </c>
      <c r="B60">
        <v>65171124</v>
      </c>
      <c r="C60">
        <v>65171107</v>
      </c>
      <c r="D60">
        <v>56219261</v>
      </c>
      <c r="E60">
        <v>108</v>
      </c>
      <c r="F60">
        <v>1</v>
      </c>
      <c r="G60">
        <v>1</v>
      </c>
      <c r="H60">
        <v>3</v>
      </c>
      <c r="I60" t="s">
        <v>530</v>
      </c>
      <c r="J60" t="s">
        <v>3</v>
      </c>
      <c r="K60" t="s">
        <v>531</v>
      </c>
      <c r="L60">
        <v>1371</v>
      </c>
      <c r="N60">
        <v>1013</v>
      </c>
      <c r="O60" t="s">
        <v>220</v>
      </c>
      <c r="P60" t="s">
        <v>220</v>
      </c>
      <c r="Q60">
        <v>1</v>
      </c>
      <c r="X60">
        <v>100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3</v>
      </c>
      <c r="AG60">
        <v>100</v>
      </c>
      <c r="AH60">
        <v>2</v>
      </c>
      <c r="AI60">
        <v>65171116</v>
      </c>
      <c r="AJ60">
        <v>63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ROW(Source!A73)</f>
        <v>73</v>
      </c>
      <c r="B61">
        <v>65171136</v>
      </c>
      <c r="C61">
        <v>65171126</v>
      </c>
      <c r="D61">
        <v>37070090</v>
      </c>
      <c r="E61">
        <v>108</v>
      </c>
      <c r="F61">
        <v>1</v>
      </c>
      <c r="G61">
        <v>1</v>
      </c>
      <c r="H61">
        <v>1</v>
      </c>
      <c r="I61" t="s">
        <v>532</v>
      </c>
      <c r="J61" t="s">
        <v>3</v>
      </c>
      <c r="K61" t="s">
        <v>533</v>
      </c>
      <c r="L61">
        <v>1191</v>
      </c>
      <c r="N61">
        <v>1013</v>
      </c>
      <c r="O61" t="s">
        <v>509</v>
      </c>
      <c r="P61" t="s">
        <v>509</v>
      </c>
      <c r="Q61">
        <v>1</v>
      </c>
      <c r="X61">
        <v>93.7</v>
      </c>
      <c r="Y61">
        <v>0</v>
      </c>
      <c r="Z61">
        <v>0</v>
      </c>
      <c r="AA61">
        <v>0</v>
      </c>
      <c r="AB61">
        <v>457.6</v>
      </c>
      <c r="AC61">
        <v>0</v>
      </c>
      <c r="AD61">
        <v>1</v>
      </c>
      <c r="AE61">
        <v>1</v>
      </c>
      <c r="AF61" t="s">
        <v>3</v>
      </c>
      <c r="AG61">
        <v>93.7</v>
      </c>
      <c r="AH61">
        <v>2</v>
      </c>
      <c r="AI61">
        <v>65171127</v>
      </c>
      <c r="AJ61">
        <v>64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ROW(Source!A73)</f>
        <v>73</v>
      </c>
      <c r="B62">
        <v>65171137</v>
      </c>
      <c r="C62">
        <v>65171126</v>
      </c>
      <c r="D62">
        <v>37064876</v>
      </c>
      <c r="E62">
        <v>108</v>
      </c>
      <c r="F62">
        <v>1</v>
      </c>
      <c r="G62">
        <v>1</v>
      </c>
      <c r="H62">
        <v>1</v>
      </c>
      <c r="I62" t="s">
        <v>510</v>
      </c>
      <c r="J62" t="s">
        <v>3</v>
      </c>
      <c r="K62" t="s">
        <v>511</v>
      </c>
      <c r="L62">
        <v>1191</v>
      </c>
      <c r="N62">
        <v>1013</v>
      </c>
      <c r="O62" t="s">
        <v>509</v>
      </c>
      <c r="P62" t="s">
        <v>509</v>
      </c>
      <c r="Q62">
        <v>1</v>
      </c>
      <c r="X62">
        <v>43.06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2</v>
      </c>
      <c r="AF62" t="s">
        <v>3</v>
      </c>
      <c r="AG62">
        <v>43.06</v>
      </c>
      <c r="AH62">
        <v>2</v>
      </c>
      <c r="AI62">
        <v>65171128</v>
      </c>
      <c r="AJ62">
        <v>65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ROW(Source!A73)</f>
        <v>73</v>
      </c>
      <c r="B63">
        <v>65171138</v>
      </c>
      <c r="C63">
        <v>65171126</v>
      </c>
      <c r="D63">
        <v>56571417</v>
      </c>
      <c r="E63">
        <v>1</v>
      </c>
      <c r="F63">
        <v>1</v>
      </c>
      <c r="G63">
        <v>1</v>
      </c>
      <c r="H63">
        <v>2</v>
      </c>
      <c r="I63" t="s">
        <v>512</v>
      </c>
      <c r="J63" t="s">
        <v>513</v>
      </c>
      <c r="K63" t="s">
        <v>514</v>
      </c>
      <c r="L63">
        <v>1368</v>
      </c>
      <c r="N63">
        <v>1011</v>
      </c>
      <c r="O63" t="s">
        <v>515</v>
      </c>
      <c r="P63" t="s">
        <v>515</v>
      </c>
      <c r="Q63">
        <v>1</v>
      </c>
      <c r="X63">
        <v>6.65</v>
      </c>
      <c r="Y63">
        <v>0</v>
      </c>
      <c r="Z63">
        <v>1551.19</v>
      </c>
      <c r="AA63">
        <v>658.94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6.65</v>
      </c>
      <c r="AH63">
        <v>2</v>
      </c>
      <c r="AI63">
        <v>65171129</v>
      </c>
      <c r="AJ63">
        <v>66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ROW(Source!A73)</f>
        <v>73</v>
      </c>
      <c r="B64">
        <v>65171139</v>
      </c>
      <c r="C64">
        <v>65171126</v>
      </c>
      <c r="D64">
        <v>56571433</v>
      </c>
      <c r="E64">
        <v>1</v>
      </c>
      <c r="F64">
        <v>1</v>
      </c>
      <c r="G64">
        <v>1</v>
      </c>
      <c r="H64">
        <v>2</v>
      </c>
      <c r="I64" t="s">
        <v>517</v>
      </c>
      <c r="J64" t="s">
        <v>518</v>
      </c>
      <c r="K64" t="s">
        <v>519</v>
      </c>
      <c r="L64">
        <v>1368</v>
      </c>
      <c r="N64">
        <v>1011</v>
      </c>
      <c r="O64" t="s">
        <v>515</v>
      </c>
      <c r="P64" t="s">
        <v>515</v>
      </c>
      <c r="Q64">
        <v>1</v>
      </c>
      <c r="X64">
        <v>26.7</v>
      </c>
      <c r="Y64">
        <v>0</v>
      </c>
      <c r="Z64">
        <v>1703.3</v>
      </c>
      <c r="AA64">
        <v>658.94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26.7</v>
      </c>
      <c r="AH64">
        <v>2</v>
      </c>
      <c r="AI64">
        <v>65171130</v>
      </c>
      <c r="AJ64">
        <v>67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ROW(Source!A73)</f>
        <v>73</v>
      </c>
      <c r="B65">
        <v>65171140</v>
      </c>
      <c r="C65">
        <v>65171126</v>
      </c>
      <c r="D65">
        <v>56572833</v>
      </c>
      <c r="E65">
        <v>1</v>
      </c>
      <c r="F65">
        <v>1</v>
      </c>
      <c r="G65">
        <v>1</v>
      </c>
      <c r="H65">
        <v>2</v>
      </c>
      <c r="I65" t="s">
        <v>520</v>
      </c>
      <c r="J65" t="s">
        <v>521</v>
      </c>
      <c r="K65" t="s">
        <v>522</v>
      </c>
      <c r="L65">
        <v>1368</v>
      </c>
      <c r="N65">
        <v>1011</v>
      </c>
      <c r="O65" t="s">
        <v>515</v>
      </c>
      <c r="P65" t="s">
        <v>515</v>
      </c>
      <c r="Q65">
        <v>1</v>
      </c>
      <c r="X65">
        <v>9.7100000000000009</v>
      </c>
      <c r="Y65">
        <v>0</v>
      </c>
      <c r="Z65">
        <v>477.92</v>
      </c>
      <c r="AA65">
        <v>490.55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9.7100000000000009</v>
      </c>
      <c r="AH65">
        <v>2</v>
      </c>
      <c r="AI65">
        <v>65171131</v>
      </c>
      <c r="AJ65">
        <v>68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ROW(Source!A73)</f>
        <v>73</v>
      </c>
      <c r="B66">
        <v>65171141</v>
      </c>
      <c r="C66">
        <v>65171126</v>
      </c>
      <c r="D66">
        <v>56218682</v>
      </c>
      <c r="E66">
        <v>108</v>
      </c>
      <c r="F66">
        <v>1</v>
      </c>
      <c r="G66">
        <v>1</v>
      </c>
      <c r="H66">
        <v>3</v>
      </c>
      <c r="I66" t="s">
        <v>524</v>
      </c>
      <c r="J66" t="s">
        <v>3</v>
      </c>
      <c r="K66" t="s">
        <v>525</v>
      </c>
      <c r="L66">
        <v>1339</v>
      </c>
      <c r="N66">
        <v>1007</v>
      </c>
      <c r="O66" t="s">
        <v>129</v>
      </c>
      <c r="P66" t="s">
        <v>129</v>
      </c>
      <c r="Q66">
        <v>1</v>
      </c>
      <c r="X66">
        <v>0.47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 t="s">
        <v>3</v>
      </c>
      <c r="AG66">
        <v>0.47</v>
      </c>
      <c r="AH66">
        <v>2</v>
      </c>
      <c r="AI66">
        <v>65171132</v>
      </c>
      <c r="AJ66">
        <v>69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ROW(Source!A73)</f>
        <v>73</v>
      </c>
      <c r="B67">
        <v>65171142</v>
      </c>
      <c r="C67">
        <v>65171126</v>
      </c>
      <c r="D67">
        <v>56584225</v>
      </c>
      <c r="E67">
        <v>1</v>
      </c>
      <c r="F67">
        <v>1</v>
      </c>
      <c r="G67">
        <v>1</v>
      </c>
      <c r="H67">
        <v>3</v>
      </c>
      <c r="I67" t="s">
        <v>527</v>
      </c>
      <c r="J67" t="s">
        <v>528</v>
      </c>
      <c r="K67" t="s">
        <v>529</v>
      </c>
      <c r="L67">
        <v>1339</v>
      </c>
      <c r="N67">
        <v>1007</v>
      </c>
      <c r="O67" t="s">
        <v>129</v>
      </c>
      <c r="P67" t="s">
        <v>129</v>
      </c>
      <c r="Q67">
        <v>1</v>
      </c>
      <c r="X67">
        <v>2.95</v>
      </c>
      <c r="Y67">
        <v>3778.62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2.95</v>
      </c>
      <c r="AH67">
        <v>2</v>
      </c>
      <c r="AI67">
        <v>65171133</v>
      </c>
      <c r="AJ67">
        <v>70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ROW(Source!A73)</f>
        <v>73</v>
      </c>
      <c r="B68">
        <v>65171143</v>
      </c>
      <c r="C68">
        <v>65171126</v>
      </c>
      <c r="D68">
        <v>56219261</v>
      </c>
      <c r="E68">
        <v>108</v>
      </c>
      <c r="F68">
        <v>1</v>
      </c>
      <c r="G68">
        <v>1</v>
      </c>
      <c r="H68">
        <v>3</v>
      </c>
      <c r="I68" t="s">
        <v>530</v>
      </c>
      <c r="J68" t="s">
        <v>3</v>
      </c>
      <c r="K68" t="s">
        <v>531</v>
      </c>
      <c r="L68">
        <v>1371</v>
      </c>
      <c r="N68">
        <v>1013</v>
      </c>
      <c r="O68" t="s">
        <v>220</v>
      </c>
      <c r="P68" t="s">
        <v>220</v>
      </c>
      <c r="Q68">
        <v>1</v>
      </c>
      <c r="X68">
        <v>100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 t="s">
        <v>3</v>
      </c>
      <c r="AG68">
        <v>100</v>
      </c>
      <c r="AH68">
        <v>2</v>
      </c>
      <c r="AI68">
        <v>65171135</v>
      </c>
      <c r="AJ68">
        <v>72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ROW(Source!A75)</f>
        <v>75</v>
      </c>
      <c r="B69">
        <v>65171169</v>
      </c>
      <c r="C69">
        <v>65171145</v>
      </c>
      <c r="D69">
        <v>37070495</v>
      </c>
      <c r="E69">
        <v>108</v>
      </c>
      <c r="F69">
        <v>1</v>
      </c>
      <c r="G69">
        <v>1</v>
      </c>
      <c r="H69">
        <v>1</v>
      </c>
      <c r="I69" t="s">
        <v>507</v>
      </c>
      <c r="J69" t="s">
        <v>3</v>
      </c>
      <c r="K69" t="s">
        <v>508</v>
      </c>
      <c r="L69">
        <v>1191</v>
      </c>
      <c r="N69">
        <v>1013</v>
      </c>
      <c r="O69" t="s">
        <v>509</v>
      </c>
      <c r="P69" t="s">
        <v>509</v>
      </c>
      <c r="Q69">
        <v>1</v>
      </c>
      <c r="X69">
        <v>39.549999999999997</v>
      </c>
      <c r="Y69">
        <v>0</v>
      </c>
      <c r="Z69">
        <v>0</v>
      </c>
      <c r="AA69">
        <v>0</v>
      </c>
      <c r="AB69">
        <v>446.62</v>
      </c>
      <c r="AC69">
        <v>0</v>
      </c>
      <c r="AD69">
        <v>1</v>
      </c>
      <c r="AE69">
        <v>1</v>
      </c>
      <c r="AF69" t="s">
        <v>3</v>
      </c>
      <c r="AG69">
        <v>39.549999999999997</v>
      </c>
      <c r="AH69">
        <v>2</v>
      </c>
      <c r="AI69">
        <v>65171146</v>
      </c>
      <c r="AJ69">
        <v>73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ROW(Source!A75)</f>
        <v>75</v>
      </c>
      <c r="B70">
        <v>65171170</v>
      </c>
      <c r="C70">
        <v>65171145</v>
      </c>
      <c r="D70">
        <v>37064876</v>
      </c>
      <c r="E70">
        <v>108</v>
      </c>
      <c r="F70">
        <v>1</v>
      </c>
      <c r="G70">
        <v>1</v>
      </c>
      <c r="H70">
        <v>1</v>
      </c>
      <c r="I70" t="s">
        <v>510</v>
      </c>
      <c r="J70" t="s">
        <v>3</v>
      </c>
      <c r="K70" t="s">
        <v>511</v>
      </c>
      <c r="L70">
        <v>1191</v>
      </c>
      <c r="N70">
        <v>1013</v>
      </c>
      <c r="O70" t="s">
        <v>509</v>
      </c>
      <c r="P70" t="s">
        <v>509</v>
      </c>
      <c r="Q70">
        <v>1</v>
      </c>
      <c r="X70">
        <v>4.01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2</v>
      </c>
      <c r="AF70" t="s">
        <v>3</v>
      </c>
      <c r="AG70">
        <v>4.01</v>
      </c>
      <c r="AH70">
        <v>2</v>
      </c>
      <c r="AI70">
        <v>65171147</v>
      </c>
      <c r="AJ70">
        <v>74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ROW(Source!A75)</f>
        <v>75</v>
      </c>
      <c r="B71">
        <v>65171171</v>
      </c>
      <c r="C71">
        <v>65171145</v>
      </c>
      <c r="D71">
        <v>56571341</v>
      </c>
      <c r="E71">
        <v>1</v>
      </c>
      <c r="F71">
        <v>1</v>
      </c>
      <c r="G71">
        <v>1</v>
      </c>
      <c r="H71">
        <v>2</v>
      </c>
      <c r="I71" t="s">
        <v>534</v>
      </c>
      <c r="J71" t="s">
        <v>535</v>
      </c>
      <c r="K71" t="s">
        <v>536</v>
      </c>
      <c r="L71">
        <v>1368</v>
      </c>
      <c r="N71">
        <v>1011</v>
      </c>
      <c r="O71" t="s">
        <v>515</v>
      </c>
      <c r="P71" t="s">
        <v>515</v>
      </c>
      <c r="Q71">
        <v>1</v>
      </c>
      <c r="X71">
        <v>0.1</v>
      </c>
      <c r="Y71">
        <v>0</v>
      </c>
      <c r="Z71">
        <v>1803.79</v>
      </c>
      <c r="AA71">
        <v>658.94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0.1</v>
      </c>
      <c r="AH71">
        <v>2</v>
      </c>
      <c r="AI71">
        <v>65171148</v>
      </c>
      <c r="AJ71">
        <v>75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ROW(Source!A75)</f>
        <v>75</v>
      </c>
      <c r="B72">
        <v>65171172</v>
      </c>
      <c r="C72">
        <v>65171145</v>
      </c>
      <c r="D72">
        <v>56571417</v>
      </c>
      <c r="E72">
        <v>1</v>
      </c>
      <c r="F72">
        <v>1</v>
      </c>
      <c r="G72">
        <v>1</v>
      </c>
      <c r="H72">
        <v>2</v>
      </c>
      <c r="I72" t="s">
        <v>512</v>
      </c>
      <c r="J72" t="s">
        <v>513</v>
      </c>
      <c r="K72" t="s">
        <v>514</v>
      </c>
      <c r="L72">
        <v>1368</v>
      </c>
      <c r="N72">
        <v>1011</v>
      </c>
      <c r="O72" t="s">
        <v>515</v>
      </c>
      <c r="P72" t="s">
        <v>515</v>
      </c>
      <c r="Q72">
        <v>1</v>
      </c>
      <c r="X72">
        <v>0.12</v>
      </c>
      <c r="Y72">
        <v>0</v>
      </c>
      <c r="Z72">
        <v>1551.19</v>
      </c>
      <c r="AA72">
        <v>658.94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0.12</v>
      </c>
      <c r="AH72">
        <v>2</v>
      </c>
      <c r="AI72">
        <v>65171149</v>
      </c>
      <c r="AJ72">
        <v>76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ROW(Source!A75)</f>
        <v>75</v>
      </c>
      <c r="B73">
        <v>65171173</v>
      </c>
      <c r="C73">
        <v>65171145</v>
      </c>
      <c r="D73">
        <v>56571433</v>
      </c>
      <c r="E73">
        <v>1</v>
      </c>
      <c r="F73">
        <v>1</v>
      </c>
      <c r="G73">
        <v>1</v>
      </c>
      <c r="H73">
        <v>2</v>
      </c>
      <c r="I73" t="s">
        <v>517</v>
      </c>
      <c r="J73" t="s">
        <v>518</v>
      </c>
      <c r="K73" t="s">
        <v>519</v>
      </c>
      <c r="L73">
        <v>1368</v>
      </c>
      <c r="N73">
        <v>1011</v>
      </c>
      <c r="O73" t="s">
        <v>515</v>
      </c>
      <c r="P73" t="s">
        <v>515</v>
      </c>
      <c r="Q73">
        <v>1</v>
      </c>
      <c r="X73">
        <v>3.6</v>
      </c>
      <c r="Y73">
        <v>0</v>
      </c>
      <c r="Z73">
        <v>1703.3</v>
      </c>
      <c r="AA73">
        <v>658.94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3.6</v>
      </c>
      <c r="AH73">
        <v>2</v>
      </c>
      <c r="AI73">
        <v>65171150</v>
      </c>
      <c r="AJ73">
        <v>77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ROW(Source!A75)</f>
        <v>75</v>
      </c>
      <c r="B74">
        <v>65171174</v>
      </c>
      <c r="C74">
        <v>65171145</v>
      </c>
      <c r="D74">
        <v>56572833</v>
      </c>
      <c r="E74">
        <v>1</v>
      </c>
      <c r="F74">
        <v>1</v>
      </c>
      <c r="G74">
        <v>1</v>
      </c>
      <c r="H74">
        <v>2</v>
      </c>
      <c r="I74" t="s">
        <v>520</v>
      </c>
      <c r="J74" t="s">
        <v>521</v>
      </c>
      <c r="K74" t="s">
        <v>522</v>
      </c>
      <c r="L74">
        <v>1368</v>
      </c>
      <c r="N74">
        <v>1011</v>
      </c>
      <c r="O74" t="s">
        <v>515</v>
      </c>
      <c r="P74" t="s">
        <v>515</v>
      </c>
      <c r="Q74">
        <v>1</v>
      </c>
      <c r="X74">
        <v>0.19</v>
      </c>
      <c r="Y74">
        <v>0</v>
      </c>
      <c r="Z74">
        <v>477.92</v>
      </c>
      <c r="AA74">
        <v>490.55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0.19</v>
      </c>
      <c r="AH74">
        <v>2</v>
      </c>
      <c r="AI74">
        <v>65171151</v>
      </c>
      <c r="AJ74">
        <v>78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ROW(Source!A75)</f>
        <v>75</v>
      </c>
      <c r="B75">
        <v>65171175</v>
      </c>
      <c r="C75">
        <v>65171145</v>
      </c>
      <c r="D75">
        <v>56573083</v>
      </c>
      <c r="E75">
        <v>1</v>
      </c>
      <c r="F75">
        <v>1</v>
      </c>
      <c r="G75">
        <v>1</v>
      </c>
      <c r="H75">
        <v>2</v>
      </c>
      <c r="I75" t="s">
        <v>537</v>
      </c>
      <c r="J75" t="s">
        <v>538</v>
      </c>
      <c r="K75" t="s">
        <v>539</v>
      </c>
      <c r="L75">
        <v>1368</v>
      </c>
      <c r="N75">
        <v>1011</v>
      </c>
      <c r="O75" t="s">
        <v>515</v>
      </c>
      <c r="P75" t="s">
        <v>515</v>
      </c>
      <c r="Q75">
        <v>1</v>
      </c>
      <c r="X75">
        <v>1.46</v>
      </c>
      <c r="Y75">
        <v>0</v>
      </c>
      <c r="Z75">
        <v>4.3499999999999996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1.46</v>
      </c>
      <c r="AH75">
        <v>2</v>
      </c>
      <c r="AI75">
        <v>65171152</v>
      </c>
      <c r="AJ75">
        <v>79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ROW(Source!A75)</f>
        <v>75</v>
      </c>
      <c r="B76">
        <v>65171176</v>
      </c>
      <c r="C76">
        <v>65171145</v>
      </c>
      <c r="D76">
        <v>56573131</v>
      </c>
      <c r="E76">
        <v>1</v>
      </c>
      <c r="F76">
        <v>1</v>
      </c>
      <c r="G76">
        <v>1</v>
      </c>
      <c r="H76">
        <v>2</v>
      </c>
      <c r="I76" t="s">
        <v>540</v>
      </c>
      <c r="J76" t="s">
        <v>541</v>
      </c>
      <c r="K76" t="s">
        <v>542</v>
      </c>
      <c r="L76">
        <v>1368</v>
      </c>
      <c r="N76">
        <v>1011</v>
      </c>
      <c r="O76" t="s">
        <v>515</v>
      </c>
      <c r="P76" t="s">
        <v>515</v>
      </c>
      <c r="Q76">
        <v>1</v>
      </c>
      <c r="X76">
        <v>0.1</v>
      </c>
      <c r="Y76">
        <v>0</v>
      </c>
      <c r="Z76">
        <v>61.72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0.1</v>
      </c>
      <c r="AH76">
        <v>2</v>
      </c>
      <c r="AI76">
        <v>65171153</v>
      </c>
      <c r="AJ76">
        <v>80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ROW(Source!A75)</f>
        <v>75</v>
      </c>
      <c r="B77">
        <v>65171177</v>
      </c>
      <c r="C77">
        <v>65171145</v>
      </c>
      <c r="D77">
        <v>56574903</v>
      </c>
      <c r="E77">
        <v>1</v>
      </c>
      <c r="F77">
        <v>1</v>
      </c>
      <c r="G77">
        <v>1</v>
      </c>
      <c r="H77">
        <v>3</v>
      </c>
      <c r="I77" t="s">
        <v>543</v>
      </c>
      <c r="J77" t="s">
        <v>544</v>
      </c>
      <c r="K77" t="s">
        <v>545</v>
      </c>
      <c r="L77">
        <v>1339</v>
      </c>
      <c r="N77">
        <v>1007</v>
      </c>
      <c r="O77" t="s">
        <v>129</v>
      </c>
      <c r="P77" t="s">
        <v>129</v>
      </c>
      <c r="Q77">
        <v>1</v>
      </c>
      <c r="X77">
        <v>1.2</v>
      </c>
      <c r="Y77">
        <v>114.64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1.2</v>
      </c>
      <c r="AH77">
        <v>2</v>
      </c>
      <c r="AI77">
        <v>65171154</v>
      </c>
      <c r="AJ77">
        <v>81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ROW(Source!A75)</f>
        <v>75</v>
      </c>
      <c r="B78">
        <v>65171178</v>
      </c>
      <c r="C78">
        <v>65171145</v>
      </c>
      <c r="D78">
        <v>56574909</v>
      </c>
      <c r="E78">
        <v>1</v>
      </c>
      <c r="F78">
        <v>1</v>
      </c>
      <c r="G78">
        <v>1</v>
      </c>
      <c r="H78">
        <v>3</v>
      </c>
      <c r="I78" t="s">
        <v>546</v>
      </c>
      <c r="J78" t="s">
        <v>547</v>
      </c>
      <c r="K78" t="s">
        <v>548</v>
      </c>
      <c r="L78">
        <v>1346</v>
      </c>
      <c r="N78">
        <v>1009</v>
      </c>
      <c r="O78" t="s">
        <v>549</v>
      </c>
      <c r="P78" t="s">
        <v>549</v>
      </c>
      <c r="Q78">
        <v>1</v>
      </c>
      <c r="X78">
        <v>0.36</v>
      </c>
      <c r="Y78">
        <v>41.38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0.36</v>
      </c>
      <c r="AH78">
        <v>2</v>
      </c>
      <c r="AI78">
        <v>65171155</v>
      </c>
      <c r="AJ78">
        <v>82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ROW(Source!A75)</f>
        <v>75</v>
      </c>
      <c r="B79">
        <v>65171179</v>
      </c>
      <c r="C79">
        <v>65171145</v>
      </c>
      <c r="D79">
        <v>56579266</v>
      </c>
      <c r="E79">
        <v>1</v>
      </c>
      <c r="F79">
        <v>1</v>
      </c>
      <c r="G79">
        <v>1</v>
      </c>
      <c r="H79">
        <v>3</v>
      </c>
      <c r="I79" t="s">
        <v>550</v>
      </c>
      <c r="J79" t="s">
        <v>551</v>
      </c>
      <c r="K79" t="s">
        <v>552</v>
      </c>
      <c r="L79">
        <v>1346</v>
      </c>
      <c r="N79">
        <v>1009</v>
      </c>
      <c r="O79" t="s">
        <v>549</v>
      </c>
      <c r="P79" t="s">
        <v>549</v>
      </c>
      <c r="Q79">
        <v>1</v>
      </c>
      <c r="X79">
        <v>0.44</v>
      </c>
      <c r="Y79">
        <v>155.63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0.44</v>
      </c>
      <c r="AH79">
        <v>2</v>
      </c>
      <c r="AI79">
        <v>65171156</v>
      </c>
      <c r="AJ79">
        <v>83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ROW(Source!A75)</f>
        <v>75</v>
      </c>
      <c r="B80">
        <v>65171180</v>
      </c>
      <c r="C80">
        <v>65171145</v>
      </c>
      <c r="D80">
        <v>56580368</v>
      </c>
      <c r="E80">
        <v>1</v>
      </c>
      <c r="F80">
        <v>1</v>
      </c>
      <c r="G80">
        <v>1</v>
      </c>
      <c r="H80">
        <v>3</v>
      </c>
      <c r="I80" t="s">
        <v>553</v>
      </c>
      <c r="J80" t="s">
        <v>554</v>
      </c>
      <c r="K80" t="s">
        <v>555</v>
      </c>
      <c r="L80">
        <v>1346</v>
      </c>
      <c r="N80">
        <v>1009</v>
      </c>
      <c r="O80" t="s">
        <v>549</v>
      </c>
      <c r="P80" t="s">
        <v>549</v>
      </c>
      <c r="Q80">
        <v>1</v>
      </c>
      <c r="X80">
        <v>21</v>
      </c>
      <c r="Y80">
        <v>174.93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21</v>
      </c>
      <c r="AH80">
        <v>2</v>
      </c>
      <c r="AI80">
        <v>65171157</v>
      </c>
      <c r="AJ80">
        <v>84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ROW(Source!A75)</f>
        <v>75</v>
      </c>
      <c r="B81">
        <v>65171181</v>
      </c>
      <c r="C81">
        <v>65171145</v>
      </c>
      <c r="D81">
        <v>56580463</v>
      </c>
      <c r="E81">
        <v>1</v>
      </c>
      <c r="F81">
        <v>1</v>
      </c>
      <c r="G81">
        <v>1</v>
      </c>
      <c r="H81">
        <v>3</v>
      </c>
      <c r="I81" t="s">
        <v>556</v>
      </c>
      <c r="J81" t="s">
        <v>557</v>
      </c>
      <c r="K81" t="s">
        <v>558</v>
      </c>
      <c r="L81">
        <v>1348</v>
      </c>
      <c r="N81">
        <v>1009</v>
      </c>
      <c r="O81" t="s">
        <v>94</v>
      </c>
      <c r="P81" t="s">
        <v>94</v>
      </c>
      <c r="Q81">
        <v>1000</v>
      </c>
      <c r="X81">
        <v>1.0000000000000001E-5</v>
      </c>
      <c r="Y81">
        <v>70296.2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1.0000000000000001E-5</v>
      </c>
      <c r="AH81">
        <v>2</v>
      </c>
      <c r="AI81">
        <v>65171158</v>
      </c>
      <c r="AJ81">
        <v>85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ROW(Source!A75)</f>
        <v>75</v>
      </c>
      <c r="B82">
        <v>65171182</v>
      </c>
      <c r="C82">
        <v>65171145</v>
      </c>
      <c r="D82">
        <v>56582411</v>
      </c>
      <c r="E82">
        <v>1</v>
      </c>
      <c r="F82">
        <v>1</v>
      </c>
      <c r="G82">
        <v>1</v>
      </c>
      <c r="H82">
        <v>3</v>
      </c>
      <c r="I82" t="s">
        <v>559</v>
      </c>
      <c r="J82" t="s">
        <v>560</v>
      </c>
      <c r="K82" t="s">
        <v>561</v>
      </c>
      <c r="L82">
        <v>1348</v>
      </c>
      <c r="N82">
        <v>1009</v>
      </c>
      <c r="O82" t="s">
        <v>94</v>
      </c>
      <c r="P82" t="s">
        <v>94</v>
      </c>
      <c r="Q82">
        <v>1000</v>
      </c>
      <c r="X82">
        <v>1E-4</v>
      </c>
      <c r="Y82">
        <v>231787.35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1E-4</v>
      </c>
      <c r="AH82">
        <v>2</v>
      </c>
      <c r="AI82">
        <v>65171159</v>
      </c>
      <c r="AJ82">
        <v>86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ROW(Source!A75)</f>
        <v>75</v>
      </c>
      <c r="B83">
        <v>65171183</v>
      </c>
      <c r="C83">
        <v>65171145</v>
      </c>
      <c r="D83">
        <v>56219768</v>
      </c>
      <c r="E83">
        <v>108</v>
      </c>
      <c r="F83">
        <v>1</v>
      </c>
      <c r="G83">
        <v>1</v>
      </c>
      <c r="H83">
        <v>3</v>
      </c>
      <c r="I83" t="s">
        <v>562</v>
      </c>
      <c r="J83" t="s">
        <v>3</v>
      </c>
      <c r="K83" t="s">
        <v>563</v>
      </c>
      <c r="L83">
        <v>1348</v>
      </c>
      <c r="N83">
        <v>1009</v>
      </c>
      <c r="O83" t="s">
        <v>94</v>
      </c>
      <c r="P83" t="s">
        <v>94</v>
      </c>
      <c r="Q83">
        <v>1000</v>
      </c>
      <c r="X83">
        <v>1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 t="s">
        <v>3</v>
      </c>
      <c r="AG83">
        <v>1</v>
      </c>
      <c r="AH83">
        <v>2</v>
      </c>
      <c r="AI83">
        <v>65171160</v>
      </c>
      <c r="AJ83">
        <v>87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ROW(Source!A75)</f>
        <v>75</v>
      </c>
      <c r="B84">
        <v>65171184</v>
      </c>
      <c r="C84">
        <v>65171145</v>
      </c>
      <c r="D84">
        <v>56588934</v>
      </c>
      <c r="E84">
        <v>1</v>
      </c>
      <c r="F84">
        <v>1</v>
      </c>
      <c r="G84">
        <v>1</v>
      </c>
      <c r="H84">
        <v>3</v>
      </c>
      <c r="I84" t="s">
        <v>564</v>
      </c>
      <c r="J84" t="s">
        <v>565</v>
      </c>
      <c r="K84" t="s">
        <v>566</v>
      </c>
      <c r="L84">
        <v>1348</v>
      </c>
      <c r="N84">
        <v>1009</v>
      </c>
      <c r="O84" t="s">
        <v>94</v>
      </c>
      <c r="P84" t="s">
        <v>94</v>
      </c>
      <c r="Q84">
        <v>1000</v>
      </c>
      <c r="X84">
        <v>2.0000000000000001E-4</v>
      </c>
      <c r="Y84">
        <v>105278.81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2.0000000000000001E-4</v>
      </c>
      <c r="AH84">
        <v>2</v>
      </c>
      <c r="AI84">
        <v>65171161</v>
      </c>
      <c r="AJ84">
        <v>88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ROW(Source!A75)</f>
        <v>75</v>
      </c>
      <c r="B85">
        <v>65171185</v>
      </c>
      <c r="C85">
        <v>65171145</v>
      </c>
      <c r="D85">
        <v>56592211</v>
      </c>
      <c r="E85">
        <v>1</v>
      </c>
      <c r="F85">
        <v>1</v>
      </c>
      <c r="G85">
        <v>1</v>
      </c>
      <c r="H85">
        <v>3</v>
      </c>
      <c r="I85" t="s">
        <v>567</v>
      </c>
      <c r="J85" t="s">
        <v>568</v>
      </c>
      <c r="K85" t="s">
        <v>569</v>
      </c>
      <c r="L85">
        <v>1302</v>
      </c>
      <c r="N85">
        <v>1003</v>
      </c>
      <c r="O85" t="s">
        <v>570</v>
      </c>
      <c r="P85" t="s">
        <v>570</v>
      </c>
      <c r="Q85">
        <v>10</v>
      </c>
      <c r="X85">
        <v>1.8700000000000001E-2</v>
      </c>
      <c r="Y85">
        <v>307.83999999999997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1.8700000000000001E-2</v>
      </c>
      <c r="AH85">
        <v>2</v>
      </c>
      <c r="AI85">
        <v>65171162</v>
      </c>
      <c r="AJ85">
        <v>89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ROW(Source!A75)</f>
        <v>75</v>
      </c>
      <c r="B86">
        <v>65171186</v>
      </c>
      <c r="C86">
        <v>65171145</v>
      </c>
      <c r="D86">
        <v>56592477</v>
      </c>
      <c r="E86">
        <v>1</v>
      </c>
      <c r="F86">
        <v>1</v>
      </c>
      <c r="G86">
        <v>1</v>
      </c>
      <c r="H86">
        <v>3</v>
      </c>
      <c r="I86" t="s">
        <v>571</v>
      </c>
      <c r="J86" t="s">
        <v>572</v>
      </c>
      <c r="K86" t="s">
        <v>573</v>
      </c>
      <c r="L86">
        <v>1348</v>
      </c>
      <c r="N86">
        <v>1009</v>
      </c>
      <c r="O86" t="s">
        <v>94</v>
      </c>
      <c r="P86" t="s">
        <v>94</v>
      </c>
      <c r="Q86">
        <v>1000</v>
      </c>
      <c r="X86">
        <v>3.0000000000000001E-5</v>
      </c>
      <c r="Y86">
        <v>60258.2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3.0000000000000001E-5</v>
      </c>
      <c r="AH86">
        <v>2</v>
      </c>
      <c r="AI86">
        <v>65171163</v>
      </c>
      <c r="AJ86">
        <v>90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ROW(Source!A75)</f>
        <v>75</v>
      </c>
      <c r="B87">
        <v>65171187</v>
      </c>
      <c r="C87">
        <v>65171145</v>
      </c>
      <c r="D87">
        <v>56593339</v>
      </c>
      <c r="E87">
        <v>1</v>
      </c>
      <c r="F87">
        <v>1</v>
      </c>
      <c r="G87">
        <v>1</v>
      </c>
      <c r="H87">
        <v>3</v>
      </c>
      <c r="I87" t="s">
        <v>574</v>
      </c>
      <c r="J87" t="s">
        <v>575</v>
      </c>
      <c r="K87" t="s">
        <v>576</v>
      </c>
      <c r="L87">
        <v>1348</v>
      </c>
      <c r="N87">
        <v>1009</v>
      </c>
      <c r="O87" t="s">
        <v>94</v>
      </c>
      <c r="P87" t="s">
        <v>94</v>
      </c>
      <c r="Q87">
        <v>1000</v>
      </c>
      <c r="X87">
        <v>1.9400000000000001E-3</v>
      </c>
      <c r="Y87">
        <v>136760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1.9400000000000001E-3</v>
      </c>
      <c r="AH87">
        <v>2</v>
      </c>
      <c r="AI87">
        <v>65171165</v>
      </c>
      <c r="AJ87">
        <v>92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ROW(Source!A75)</f>
        <v>75</v>
      </c>
      <c r="B88">
        <v>65171188</v>
      </c>
      <c r="C88">
        <v>65171145</v>
      </c>
      <c r="D88">
        <v>56595823</v>
      </c>
      <c r="E88">
        <v>1</v>
      </c>
      <c r="F88">
        <v>1</v>
      </c>
      <c r="G88">
        <v>1</v>
      </c>
      <c r="H88">
        <v>3</v>
      </c>
      <c r="I88" t="s">
        <v>577</v>
      </c>
      <c r="J88" t="s">
        <v>578</v>
      </c>
      <c r="K88" t="s">
        <v>579</v>
      </c>
      <c r="L88">
        <v>1339</v>
      </c>
      <c r="N88">
        <v>1007</v>
      </c>
      <c r="O88" t="s">
        <v>129</v>
      </c>
      <c r="P88" t="s">
        <v>129</v>
      </c>
      <c r="Q88">
        <v>1</v>
      </c>
      <c r="X88">
        <v>1.0300000000000001E-3</v>
      </c>
      <c r="Y88">
        <v>16496.03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1.0300000000000001E-3</v>
      </c>
      <c r="AH88">
        <v>2</v>
      </c>
      <c r="AI88">
        <v>65171166</v>
      </c>
      <c r="AJ88">
        <v>93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ROW(Source!A75)</f>
        <v>75</v>
      </c>
      <c r="B89">
        <v>65171189</v>
      </c>
      <c r="C89">
        <v>65171145</v>
      </c>
      <c r="D89">
        <v>56609935</v>
      </c>
      <c r="E89">
        <v>1</v>
      </c>
      <c r="F89">
        <v>1</v>
      </c>
      <c r="G89">
        <v>1</v>
      </c>
      <c r="H89">
        <v>3</v>
      </c>
      <c r="I89" t="s">
        <v>580</v>
      </c>
      <c r="J89" t="s">
        <v>581</v>
      </c>
      <c r="K89" t="s">
        <v>582</v>
      </c>
      <c r="L89">
        <v>1348</v>
      </c>
      <c r="N89">
        <v>1009</v>
      </c>
      <c r="O89" t="s">
        <v>94</v>
      </c>
      <c r="P89" t="s">
        <v>94</v>
      </c>
      <c r="Q89">
        <v>1000</v>
      </c>
      <c r="X89">
        <v>3.1E-4</v>
      </c>
      <c r="Y89">
        <v>51280.15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3.1E-4</v>
      </c>
      <c r="AH89">
        <v>2</v>
      </c>
      <c r="AI89">
        <v>65171167</v>
      </c>
      <c r="AJ89">
        <v>94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ROW(Source!A75)</f>
        <v>75</v>
      </c>
      <c r="B90">
        <v>65171190</v>
      </c>
      <c r="C90">
        <v>65171145</v>
      </c>
      <c r="D90">
        <v>56610694</v>
      </c>
      <c r="E90">
        <v>1</v>
      </c>
      <c r="F90">
        <v>1</v>
      </c>
      <c r="G90">
        <v>1</v>
      </c>
      <c r="H90">
        <v>3</v>
      </c>
      <c r="I90" t="s">
        <v>583</v>
      </c>
      <c r="J90" t="s">
        <v>584</v>
      </c>
      <c r="K90" t="s">
        <v>585</v>
      </c>
      <c r="L90">
        <v>1348</v>
      </c>
      <c r="N90">
        <v>1009</v>
      </c>
      <c r="O90" t="s">
        <v>94</v>
      </c>
      <c r="P90" t="s">
        <v>94</v>
      </c>
      <c r="Q90">
        <v>1000</v>
      </c>
      <c r="X90">
        <v>5.9999999999999995E-4</v>
      </c>
      <c r="Y90">
        <v>98526.45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5.9999999999999995E-4</v>
      </c>
      <c r="AH90">
        <v>2</v>
      </c>
      <c r="AI90">
        <v>65171168</v>
      </c>
      <c r="AJ90">
        <v>95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ROW(Source!A77)</f>
        <v>77</v>
      </c>
      <c r="B91">
        <v>65171201</v>
      </c>
      <c r="C91">
        <v>65171192</v>
      </c>
      <c r="D91">
        <v>37070202</v>
      </c>
      <c r="E91">
        <v>108</v>
      </c>
      <c r="F91">
        <v>1</v>
      </c>
      <c r="G91">
        <v>1</v>
      </c>
      <c r="H91">
        <v>1</v>
      </c>
      <c r="I91" t="s">
        <v>604</v>
      </c>
      <c r="J91" t="s">
        <v>3</v>
      </c>
      <c r="K91" t="s">
        <v>605</v>
      </c>
      <c r="L91">
        <v>1191</v>
      </c>
      <c r="N91">
        <v>1013</v>
      </c>
      <c r="O91" t="s">
        <v>509</v>
      </c>
      <c r="P91" t="s">
        <v>509</v>
      </c>
      <c r="Q91">
        <v>1</v>
      </c>
      <c r="X91">
        <v>46.8</v>
      </c>
      <c r="Y91">
        <v>0</v>
      </c>
      <c r="Z91">
        <v>0</v>
      </c>
      <c r="AA91">
        <v>0</v>
      </c>
      <c r="AB91">
        <v>485.06</v>
      </c>
      <c r="AC91">
        <v>0</v>
      </c>
      <c r="AD91">
        <v>1</v>
      </c>
      <c r="AE91">
        <v>1</v>
      </c>
      <c r="AF91" t="s">
        <v>3</v>
      </c>
      <c r="AG91">
        <v>46.8</v>
      </c>
      <c r="AH91">
        <v>2</v>
      </c>
      <c r="AI91">
        <v>65171193</v>
      </c>
      <c r="AJ91">
        <v>96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ROW(Source!A77)</f>
        <v>77</v>
      </c>
      <c r="B92">
        <v>65171202</v>
      </c>
      <c r="C92">
        <v>65171192</v>
      </c>
      <c r="D92">
        <v>37064876</v>
      </c>
      <c r="E92">
        <v>108</v>
      </c>
      <c r="F92">
        <v>1</v>
      </c>
      <c r="G92">
        <v>1</v>
      </c>
      <c r="H92">
        <v>1</v>
      </c>
      <c r="I92" t="s">
        <v>510</v>
      </c>
      <c r="J92" t="s">
        <v>3</v>
      </c>
      <c r="K92" t="s">
        <v>511</v>
      </c>
      <c r="L92">
        <v>1191</v>
      </c>
      <c r="N92">
        <v>1013</v>
      </c>
      <c r="O92" t="s">
        <v>509</v>
      </c>
      <c r="P92" t="s">
        <v>509</v>
      </c>
      <c r="Q92">
        <v>1</v>
      </c>
      <c r="X92">
        <v>0.55000000000000004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2</v>
      </c>
      <c r="AF92" t="s">
        <v>3</v>
      </c>
      <c r="AG92">
        <v>0.55000000000000004</v>
      </c>
      <c r="AH92">
        <v>2</v>
      </c>
      <c r="AI92">
        <v>65171194</v>
      </c>
      <c r="AJ92">
        <v>97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ROW(Source!A77)</f>
        <v>77</v>
      </c>
      <c r="B93">
        <v>65171203</v>
      </c>
      <c r="C93">
        <v>65171192</v>
      </c>
      <c r="D93">
        <v>56572034</v>
      </c>
      <c r="E93">
        <v>1</v>
      </c>
      <c r="F93">
        <v>1</v>
      </c>
      <c r="G93">
        <v>1</v>
      </c>
      <c r="H93">
        <v>2</v>
      </c>
      <c r="I93" t="s">
        <v>606</v>
      </c>
      <c r="J93" t="s">
        <v>607</v>
      </c>
      <c r="K93" t="s">
        <v>608</v>
      </c>
      <c r="L93">
        <v>1368</v>
      </c>
      <c r="N93">
        <v>1011</v>
      </c>
      <c r="O93" t="s">
        <v>515</v>
      </c>
      <c r="P93" t="s">
        <v>515</v>
      </c>
      <c r="Q93">
        <v>1</v>
      </c>
      <c r="X93">
        <v>3.58</v>
      </c>
      <c r="Y93">
        <v>0</v>
      </c>
      <c r="Z93">
        <v>95.25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3.58</v>
      </c>
      <c r="AH93">
        <v>2</v>
      </c>
      <c r="AI93">
        <v>65171195</v>
      </c>
      <c r="AJ93">
        <v>98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ROW(Source!A77)</f>
        <v>77</v>
      </c>
      <c r="B94">
        <v>65171204</v>
      </c>
      <c r="C94">
        <v>65171192</v>
      </c>
      <c r="D94">
        <v>56572833</v>
      </c>
      <c r="E94">
        <v>1</v>
      </c>
      <c r="F94">
        <v>1</v>
      </c>
      <c r="G94">
        <v>1</v>
      </c>
      <c r="H94">
        <v>2</v>
      </c>
      <c r="I94" t="s">
        <v>520</v>
      </c>
      <c r="J94" t="s">
        <v>521</v>
      </c>
      <c r="K94" t="s">
        <v>522</v>
      </c>
      <c r="L94">
        <v>1368</v>
      </c>
      <c r="N94">
        <v>1011</v>
      </c>
      <c r="O94" t="s">
        <v>515</v>
      </c>
      <c r="P94" t="s">
        <v>515</v>
      </c>
      <c r="Q94">
        <v>1</v>
      </c>
      <c r="X94">
        <v>0.55000000000000004</v>
      </c>
      <c r="Y94">
        <v>0</v>
      </c>
      <c r="Z94">
        <v>477.92</v>
      </c>
      <c r="AA94">
        <v>490.55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0.55000000000000004</v>
      </c>
      <c r="AH94">
        <v>2</v>
      </c>
      <c r="AI94">
        <v>65171196</v>
      </c>
      <c r="AJ94">
        <v>99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ROW(Source!A77)</f>
        <v>77</v>
      </c>
      <c r="B95">
        <v>65171205</v>
      </c>
      <c r="C95">
        <v>65171192</v>
      </c>
      <c r="D95">
        <v>56217155</v>
      </c>
      <c r="E95">
        <v>108</v>
      </c>
      <c r="F95">
        <v>1</v>
      </c>
      <c r="G95">
        <v>1</v>
      </c>
      <c r="H95">
        <v>3</v>
      </c>
      <c r="I95" t="s">
        <v>609</v>
      </c>
      <c r="J95" t="s">
        <v>3</v>
      </c>
      <c r="K95" t="s">
        <v>610</v>
      </c>
      <c r="L95">
        <v>1348</v>
      </c>
      <c r="N95">
        <v>1009</v>
      </c>
      <c r="O95" t="s">
        <v>94</v>
      </c>
      <c r="P95" t="s">
        <v>94</v>
      </c>
      <c r="Q95">
        <v>1000</v>
      </c>
      <c r="X95">
        <v>1.6E-2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 t="s">
        <v>3</v>
      </c>
      <c r="AG95">
        <v>1.6E-2</v>
      </c>
      <c r="AH95">
        <v>2</v>
      </c>
      <c r="AI95">
        <v>65171197</v>
      </c>
      <c r="AJ95">
        <v>100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ROW(Source!A77)</f>
        <v>77</v>
      </c>
      <c r="B96">
        <v>65171206</v>
      </c>
      <c r="C96">
        <v>65171192</v>
      </c>
      <c r="D96">
        <v>56217179</v>
      </c>
      <c r="E96">
        <v>108</v>
      </c>
      <c r="F96">
        <v>1</v>
      </c>
      <c r="G96">
        <v>1</v>
      </c>
      <c r="H96">
        <v>3</v>
      </c>
      <c r="I96" t="s">
        <v>611</v>
      </c>
      <c r="J96" t="s">
        <v>3</v>
      </c>
      <c r="K96" t="s">
        <v>612</v>
      </c>
      <c r="L96">
        <v>1348</v>
      </c>
      <c r="N96">
        <v>1009</v>
      </c>
      <c r="O96" t="s">
        <v>94</v>
      </c>
      <c r="P96" t="s">
        <v>94</v>
      </c>
      <c r="Q96">
        <v>1000</v>
      </c>
      <c r="X96">
        <v>0.44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 t="s">
        <v>3</v>
      </c>
      <c r="AG96">
        <v>0.44</v>
      </c>
      <c r="AH96">
        <v>2</v>
      </c>
      <c r="AI96">
        <v>65171198</v>
      </c>
      <c r="AJ96">
        <v>101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ROW(Source!A77)</f>
        <v>77</v>
      </c>
      <c r="B97">
        <v>65171207</v>
      </c>
      <c r="C97">
        <v>65171192</v>
      </c>
      <c r="D97">
        <v>56574811</v>
      </c>
      <c r="E97">
        <v>1</v>
      </c>
      <c r="F97">
        <v>1</v>
      </c>
      <c r="G97">
        <v>1</v>
      </c>
      <c r="H97">
        <v>3</v>
      </c>
      <c r="I97" t="s">
        <v>613</v>
      </c>
      <c r="J97" t="s">
        <v>614</v>
      </c>
      <c r="K97" t="s">
        <v>615</v>
      </c>
      <c r="L97">
        <v>1348</v>
      </c>
      <c r="N97">
        <v>1009</v>
      </c>
      <c r="O97" t="s">
        <v>94</v>
      </c>
      <c r="P97" t="s">
        <v>94</v>
      </c>
      <c r="Q97">
        <v>1000</v>
      </c>
      <c r="X97">
        <v>2.4E-2</v>
      </c>
      <c r="Y97">
        <v>62186.75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2.4E-2</v>
      </c>
      <c r="AH97">
        <v>2</v>
      </c>
      <c r="AI97">
        <v>65171199</v>
      </c>
      <c r="AJ97">
        <v>102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ROW(Source!A77)</f>
        <v>77</v>
      </c>
      <c r="B98">
        <v>65171208</v>
      </c>
      <c r="C98">
        <v>65171192</v>
      </c>
      <c r="D98">
        <v>56220820</v>
      </c>
      <c r="E98">
        <v>108</v>
      </c>
      <c r="F98">
        <v>1</v>
      </c>
      <c r="G98">
        <v>1</v>
      </c>
      <c r="H98">
        <v>3</v>
      </c>
      <c r="I98" t="s">
        <v>616</v>
      </c>
      <c r="J98" t="s">
        <v>3</v>
      </c>
      <c r="K98" t="s">
        <v>617</v>
      </c>
      <c r="L98">
        <v>1327</v>
      </c>
      <c r="N98">
        <v>1005</v>
      </c>
      <c r="O98" t="s">
        <v>618</v>
      </c>
      <c r="P98" t="s">
        <v>618</v>
      </c>
      <c r="Q98">
        <v>1</v>
      </c>
      <c r="X98">
        <v>230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 t="s">
        <v>3</v>
      </c>
      <c r="AG98">
        <v>230</v>
      </c>
      <c r="AH98">
        <v>2</v>
      </c>
      <c r="AI98">
        <v>65171200</v>
      </c>
      <c r="AJ98">
        <v>103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ROW(Source!A78)</f>
        <v>78</v>
      </c>
      <c r="B99">
        <v>65171217</v>
      </c>
      <c r="C99">
        <v>65171209</v>
      </c>
      <c r="D99">
        <v>37070495</v>
      </c>
      <c r="E99">
        <v>108</v>
      </c>
      <c r="F99">
        <v>1</v>
      </c>
      <c r="G99">
        <v>1</v>
      </c>
      <c r="H99">
        <v>1</v>
      </c>
      <c r="I99" t="s">
        <v>507</v>
      </c>
      <c r="J99" t="s">
        <v>3</v>
      </c>
      <c r="K99" t="s">
        <v>508</v>
      </c>
      <c r="L99">
        <v>1191</v>
      </c>
      <c r="N99">
        <v>1013</v>
      </c>
      <c r="O99" t="s">
        <v>509</v>
      </c>
      <c r="P99" t="s">
        <v>509</v>
      </c>
      <c r="Q99">
        <v>1</v>
      </c>
      <c r="X99">
        <v>9.08</v>
      </c>
      <c r="Y99">
        <v>0</v>
      </c>
      <c r="Z99">
        <v>0</v>
      </c>
      <c r="AA99">
        <v>0</v>
      </c>
      <c r="AB99">
        <v>446.62</v>
      </c>
      <c r="AC99">
        <v>0</v>
      </c>
      <c r="AD99">
        <v>1</v>
      </c>
      <c r="AE99">
        <v>1</v>
      </c>
      <c r="AF99" t="s">
        <v>3</v>
      </c>
      <c r="AG99">
        <v>9.08</v>
      </c>
      <c r="AH99">
        <v>2</v>
      </c>
      <c r="AI99">
        <v>65171210</v>
      </c>
      <c r="AJ99">
        <v>104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ROW(Source!A78)</f>
        <v>78</v>
      </c>
      <c r="B100">
        <v>65171218</v>
      </c>
      <c r="C100">
        <v>65171209</v>
      </c>
      <c r="D100">
        <v>37064876</v>
      </c>
      <c r="E100">
        <v>108</v>
      </c>
      <c r="F100">
        <v>1</v>
      </c>
      <c r="G100">
        <v>1</v>
      </c>
      <c r="H100">
        <v>1</v>
      </c>
      <c r="I100" t="s">
        <v>510</v>
      </c>
      <c r="J100" t="s">
        <v>3</v>
      </c>
      <c r="K100" t="s">
        <v>511</v>
      </c>
      <c r="L100">
        <v>1191</v>
      </c>
      <c r="N100">
        <v>1013</v>
      </c>
      <c r="O100" t="s">
        <v>509</v>
      </c>
      <c r="P100" t="s">
        <v>509</v>
      </c>
      <c r="Q100">
        <v>1</v>
      </c>
      <c r="X100">
        <v>0.03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2</v>
      </c>
      <c r="AF100" t="s">
        <v>3</v>
      </c>
      <c r="AG100">
        <v>0.03</v>
      </c>
      <c r="AH100">
        <v>2</v>
      </c>
      <c r="AI100">
        <v>65171211</v>
      </c>
      <c r="AJ100">
        <v>105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ROW(Source!A78)</f>
        <v>78</v>
      </c>
      <c r="B101">
        <v>65171219</v>
      </c>
      <c r="C101">
        <v>65171209</v>
      </c>
      <c r="D101">
        <v>56571642</v>
      </c>
      <c r="E101">
        <v>1</v>
      </c>
      <c r="F101">
        <v>1</v>
      </c>
      <c r="G101">
        <v>1</v>
      </c>
      <c r="H101">
        <v>2</v>
      </c>
      <c r="I101" t="s">
        <v>619</v>
      </c>
      <c r="J101" t="s">
        <v>620</v>
      </c>
      <c r="K101" t="s">
        <v>621</v>
      </c>
      <c r="L101">
        <v>1368</v>
      </c>
      <c r="N101">
        <v>1011</v>
      </c>
      <c r="O101" t="s">
        <v>515</v>
      </c>
      <c r="P101" t="s">
        <v>515</v>
      </c>
      <c r="Q101">
        <v>1</v>
      </c>
      <c r="X101">
        <v>0.01</v>
      </c>
      <c r="Y101">
        <v>0</v>
      </c>
      <c r="Z101">
        <v>6.62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0.01</v>
      </c>
      <c r="AH101">
        <v>2</v>
      </c>
      <c r="AI101">
        <v>65171212</v>
      </c>
      <c r="AJ101">
        <v>106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ROW(Source!A78)</f>
        <v>78</v>
      </c>
      <c r="B102">
        <v>65171220</v>
      </c>
      <c r="C102">
        <v>65171209</v>
      </c>
      <c r="D102">
        <v>56571671</v>
      </c>
      <c r="E102">
        <v>1</v>
      </c>
      <c r="F102">
        <v>1</v>
      </c>
      <c r="G102">
        <v>1</v>
      </c>
      <c r="H102">
        <v>2</v>
      </c>
      <c r="I102" t="s">
        <v>622</v>
      </c>
      <c r="J102" t="s">
        <v>623</v>
      </c>
      <c r="K102" t="s">
        <v>624</v>
      </c>
      <c r="L102">
        <v>1368</v>
      </c>
      <c r="N102">
        <v>1011</v>
      </c>
      <c r="O102" t="s">
        <v>515</v>
      </c>
      <c r="P102" t="s">
        <v>515</v>
      </c>
      <c r="Q102">
        <v>1</v>
      </c>
      <c r="X102">
        <v>0.01</v>
      </c>
      <c r="Y102">
        <v>0</v>
      </c>
      <c r="Z102">
        <v>1558.39</v>
      </c>
      <c r="AA102">
        <v>563.76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0.01</v>
      </c>
      <c r="AH102">
        <v>2</v>
      </c>
      <c r="AI102">
        <v>65171213</v>
      </c>
      <c r="AJ102">
        <v>107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ROW(Source!A78)</f>
        <v>78</v>
      </c>
      <c r="B103">
        <v>65171221</v>
      </c>
      <c r="C103">
        <v>65171209</v>
      </c>
      <c r="D103">
        <v>56572833</v>
      </c>
      <c r="E103">
        <v>1</v>
      </c>
      <c r="F103">
        <v>1</v>
      </c>
      <c r="G103">
        <v>1</v>
      </c>
      <c r="H103">
        <v>2</v>
      </c>
      <c r="I103" t="s">
        <v>520</v>
      </c>
      <c r="J103" t="s">
        <v>521</v>
      </c>
      <c r="K103" t="s">
        <v>522</v>
      </c>
      <c r="L103">
        <v>1368</v>
      </c>
      <c r="N103">
        <v>1011</v>
      </c>
      <c r="O103" t="s">
        <v>515</v>
      </c>
      <c r="P103" t="s">
        <v>515</v>
      </c>
      <c r="Q103">
        <v>1</v>
      </c>
      <c r="X103">
        <v>0.02</v>
      </c>
      <c r="Y103">
        <v>0</v>
      </c>
      <c r="Z103">
        <v>477.92</v>
      </c>
      <c r="AA103">
        <v>490.55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0.02</v>
      </c>
      <c r="AH103">
        <v>2</v>
      </c>
      <c r="AI103">
        <v>65171214</v>
      </c>
      <c r="AJ103">
        <v>108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ROW(Source!A78)</f>
        <v>78</v>
      </c>
      <c r="B104">
        <v>65171222</v>
      </c>
      <c r="C104">
        <v>65171209</v>
      </c>
      <c r="D104">
        <v>56582407</v>
      </c>
      <c r="E104">
        <v>1</v>
      </c>
      <c r="F104">
        <v>1</v>
      </c>
      <c r="G104">
        <v>1</v>
      </c>
      <c r="H104">
        <v>3</v>
      </c>
      <c r="I104" t="s">
        <v>625</v>
      </c>
      <c r="J104" t="s">
        <v>626</v>
      </c>
      <c r="K104" t="s">
        <v>627</v>
      </c>
      <c r="L104">
        <v>1346</v>
      </c>
      <c r="N104">
        <v>1009</v>
      </c>
      <c r="O104" t="s">
        <v>549</v>
      </c>
      <c r="P104" t="s">
        <v>549</v>
      </c>
      <c r="Q104">
        <v>1</v>
      </c>
      <c r="X104">
        <v>5</v>
      </c>
      <c r="Y104">
        <v>56.11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5</v>
      </c>
      <c r="AH104">
        <v>2</v>
      </c>
      <c r="AI104">
        <v>65171215</v>
      </c>
      <c r="AJ104">
        <v>109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ROW(Source!A78)</f>
        <v>78</v>
      </c>
      <c r="B105">
        <v>65171223</v>
      </c>
      <c r="C105">
        <v>65171209</v>
      </c>
      <c r="D105">
        <v>56610726</v>
      </c>
      <c r="E105">
        <v>1</v>
      </c>
      <c r="F105">
        <v>1</v>
      </c>
      <c r="G105">
        <v>1</v>
      </c>
      <c r="H105">
        <v>3</v>
      </c>
      <c r="I105" t="s">
        <v>628</v>
      </c>
      <c r="J105" t="s">
        <v>629</v>
      </c>
      <c r="K105" t="s">
        <v>630</v>
      </c>
      <c r="L105">
        <v>1346</v>
      </c>
      <c r="N105">
        <v>1009</v>
      </c>
      <c r="O105" t="s">
        <v>549</v>
      </c>
      <c r="P105" t="s">
        <v>549</v>
      </c>
      <c r="Q105">
        <v>1</v>
      </c>
      <c r="X105">
        <v>32</v>
      </c>
      <c r="Y105">
        <v>60.6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32</v>
      </c>
      <c r="AH105">
        <v>2</v>
      </c>
      <c r="AI105">
        <v>65171216</v>
      </c>
      <c r="AJ105">
        <v>110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ROW(Source!A79)</f>
        <v>79</v>
      </c>
      <c r="B106">
        <v>65171233</v>
      </c>
      <c r="C106">
        <v>65171224</v>
      </c>
      <c r="D106">
        <v>37072442</v>
      </c>
      <c r="E106">
        <v>108</v>
      </c>
      <c r="F106">
        <v>1</v>
      </c>
      <c r="G106">
        <v>1</v>
      </c>
      <c r="H106">
        <v>1</v>
      </c>
      <c r="I106" t="s">
        <v>631</v>
      </c>
      <c r="J106" t="s">
        <v>3</v>
      </c>
      <c r="K106" t="s">
        <v>632</v>
      </c>
      <c r="L106">
        <v>1191</v>
      </c>
      <c r="N106">
        <v>1013</v>
      </c>
      <c r="O106" t="s">
        <v>509</v>
      </c>
      <c r="P106" t="s">
        <v>509</v>
      </c>
      <c r="Q106">
        <v>1</v>
      </c>
      <c r="X106">
        <v>5.31</v>
      </c>
      <c r="Y106">
        <v>0</v>
      </c>
      <c r="Z106">
        <v>0</v>
      </c>
      <c r="AA106">
        <v>0</v>
      </c>
      <c r="AB106">
        <v>541.79999999999995</v>
      </c>
      <c r="AC106">
        <v>0</v>
      </c>
      <c r="AD106">
        <v>1</v>
      </c>
      <c r="AE106">
        <v>1</v>
      </c>
      <c r="AF106" t="s">
        <v>3</v>
      </c>
      <c r="AG106">
        <v>5.31</v>
      </c>
      <c r="AH106">
        <v>2</v>
      </c>
      <c r="AI106">
        <v>65171225</v>
      </c>
      <c r="AJ106">
        <v>111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ROW(Source!A79)</f>
        <v>79</v>
      </c>
      <c r="B107">
        <v>65171234</v>
      </c>
      <c r="C107">
        <v>65171224</v>
      </c>
      <c r="D107">
        <v>37064876</v>
      </c>
      <c r="E107">
        <v>108</v>
      </c>
      <c r="F107">
        <v>1</v>
      </c>
      <c r="G107">
        <v>1</v>
      </c>
      <c r="H107">
        <v>1</v>
      </c>
      <c r="I107" t="s">
        <v>510</v>
      </c>
      <c r="J107" t="s">
        <v>3</v>
      </c>
      <c r="K107" t="s">
        <v>511</v>
      </c>
      <c r="L107">
        <v>1191</v>
      </c>
      <c r="N107">
        <v>1013</v>
      </c>
      <c r="O107" t="s">
        <v>509</v>
      </c>
      <c r="P107" t="s">
        <v>509</v>
      </c>
      <c r="Q107">
        <v>1</v>
      </c>
      <c r="X107">
        <v>0.02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2</v>
      </c>
      <c r="AF107" t="s">
        <v>3</v>
      </c>
      <c r="AG107">
        <v>0.02</v>
      </c>
      <c r="AH107">
        <v>2</v>
      </c>
      <c r="AI107">
        <v>65171226</v>
      </c>
      <c r="AJ107">
        <v>112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ROW(Source!A79)</f>
        <v>79</v>
      </c>
      <c r="B108">
        <v>65171235</v>
      </c>
      <c r="C108">
        <v>65171224</v>
      </c>
      <c r="D108">
        <v>56571642</v>
      </c>
      <c r="E108">
        <v>1</v>
      </c>
      <c r="F108">
        <v>1</v>
      </c>
      <c r="G108">
        <v>1</v>
      </c>
      <c r="H108">
        <v>2</v>
      </c>
      <c r="I108" t="s">
        <v>619</v>
      </c>
      <c r="J108" t="s">
        <v>620</v>
      </c>
      <c r="K108" t="s">
        <v>621</v>
      </c>
      <c r="L108">
        <v>1368</v>
      </c>
      <c r="N108">
        <v>1011</v>
      </c>
      <c r="O108" t="s">
        <v>515</v>
      </c>
      <c r="P108" t="s">
        <v>515</v>
      </c>
      <c r="Q108">
        <v>1</v>
      </c>
      <c r="X108">
        <v>0.01</v>
      </c>
      <c r="Y108">
        <v>0</v>
      </c>
      <c r="Z108">
        <v>6.62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0.01</v>
      </c>
      <c r="AH108">
        <v>2</v>
      </c>
      <c r="AI108">
        <v>65171227</v>
      </c>
      <c r="AJ108">
        <v>113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ROW(Source!A79)</f>
        <v>79</v>
      </c>
      <c r="B109">
        <v>65171236</v>
      </c>
      <c r="C109">
        <v>65171224</v>
      </c>
      <c r="D109">
        <v>56571671</v>
      </c>
      <c r="E109">
        <v>1</v>
      </c>
      <c r="F109">
        <v>1</v>
      </c>
      <c r="G109">
        <v>1</v>
      </c>
      <c r="H109">
        <v>2</v>
      </c>
      <c r="I109" t="s">
        <v>622</v>
      </c>
      <c r="J109" t="s">
        <v>623</v>
      </c>
      <c r="K109" t="s">
        <v>624</v>
      </c>
      <c r="L109">
        <v>1368</v>
      </c>
      <c r="N109">
        <v>1011</v>
      </c>
      <c r="O109" t="s">
        <v>515</v>
      </c>
      <c r="P109" t="s">
        <v>515</v>
      </c>
      <c r="Q109">
        <v>1</v>
      </c>
      <c r="X109">
        <v>0.01</v>
      </c>
      <c r="Y109">
        <v>0</v>
      </c>
      <c r="Z109">
        <v>1558.39</v>
      </c>
      <c r="AA109">
        <v>563.76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0.01</v>
      </c>
      <c r="AH109">
        <v>2</v>
      </c>
      <c r="AI109">
        <v>65171228</v>
      </c>
      <c r="AJ109">
        <v>114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ROW(Source!A79)</f>
        <v>79</v>
      </c>
      <c r="B110">
        <v>65171237</v>
      </c>
      <c r="C110">
        <v>65171224</v>
      </c>
      <c r="D110">
        <v>56572833</v>
      </c>
      <c r="E110">
        <v>1</v>
      </c>
      <c r="F110">
        <v>1</v>
      </c>
      <c r="G110">
        <v>1</v>
      </c>
      <c r="H110">
        <v>2</v>
      </c>
      <c r="I110" t="s">
        <v>520</v>
      </c>
      <c r="J110" t="s">
        <v>521</v>
      </c>
      <c r="K110" t="s">
        <v>522</v>
      </c>
      <c r="L110">
        <v>1368</v>
      </c>
      <c r="N110">
        <v>1011</v>
      </c>
      <c r="O110" t="s">
        <v>515</v>
      </c>
      <c r="P110" t="s">
        <v>515</v>
      </c>
      <c r="Q110">
        <v>1</v>
      </c>
      <c r="X110">
        <v>0.01</v>
      </c>
      <c r="Y110">
        <v>0</v>
      </c>
      <c r="Z110">
        <v>477.92</v>
      </c>
      <c r="AA110">
        <v>490.55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0.01</v>
      </c>
      <c r="AH110">
        <v>2</v>
      </c>
      <c r="AI110">
        <v>65171229</v>
      </c>
      <c r="AJ110">
        <v>115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ROW(Source!A79)</f>
        <v>79</v>
      </c>
      <c r="B111">
        <v>65171238</v>
      </c>
      <c r="C111">
        <v>65171224</v>
      </c>
      <c r="D111">
        <v>56573728</v>
      </c>
      <c r="E111">
        <v>1</v>
      </c>
      <c r="F111">
        <v>1</v>
      </c>
      <c r="G111">
        <v>1</v>
      </c>
      <c r="H111">
        <v>2</v>
      </c>
      <c r="I111" t="s">
        <v>633</v>
      </c>
      <c r="J111" t="s">
        <v>634</v>
      </c>
      <c r="K111" t="s">
        <v>635</v>
      </c>
      <c r="L111">
        <v>1368</v>
      </c>
      <c r="N111">
        <v>1011</v>
      </c>
      <c r="O111" t="s">
        <v>515</v>
      </c>
      <c r="P111" t="s">
        <v>515</v>
      </c>
      <c r="Q111">
        <v>1</v>
      </c>
      <c r="X111">
        <v>1.1200000000000001</v>
      </c>
      <c r="Y111">
        <v>0</v>
      </c>
      <c r="Z111">
        <v>6.04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1.1200000000000001</v>
      </c>
      <c r="AH111">
        <v>2</v>
      </c>
      <c r="AI111">
        <v>65171230</v>
      </c>
      <c r="AJ111">
        <v>116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ROW(Source!A79)</f>
        <v>79</v>
      </c>
      <c r="B112">
        <v>65171239</v>
      </c>
      <c r="C112">
        <v>65171224</v>
      </c>
      <c r="D112">
        <v>56609935</v>
      </c>
      <c r="E112">
        <v>1</v>
      </c>
      <c r="F112">
        <v>1</v>
      </c>
      <c r="G112">
        <v>1</v>
      </c>
      <c r="H112">
        <v>3</v>
      </c>
      <c r="I112" t="s">
        <v>580</v>
      </c>
      <c r="J112" t="s">
        <v>581</v>
      </c>
      <c r="K112" t="s">
        <v>582</v>
      </c>
      <c r="L112">
        <v>1348</v>
      </c>
      <c r="N112">
        <v>1009</v>
      </c>
      <c r="O112" t="s">
        <v>94</v>
      </c>
      <c r="P112" t="s">
        <v>94</v>
      </c>
      <c r="Q112">
        <v>1000</v>
      </c>
      <c r="X112">
        <v>8.9999999999999993E-3</v>
      </c>
      <c r="Y112">
        <v>51280.15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8.9999999999999993E-3</v>
      </c>
      <c r="AH112">
        <v>2</v>
      </c>
      <c r="AI112">
        <v>65171231</v>
      </c>
      <c r="AJ112">
        <v>117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ROW(Source!A79)</f>
        <v>79</v>
      </c>
      <c r="B113">
        <v>65171240</v>
      </c>
      <c r="C113">
        <v>65171224</v>
      </c>
      <c r="D113">
        <v>56610649</v>
      </c>
      <c r="E113">
        <v>1</v>
      </c>
      <c r="F113">
        <v>1</v>
      </c>
      <c r="G113">
        <v>1</v>
      </c>
      <c r="H113">
        <v>3</v>
      </c>
      <c r="I113" t="s">
        <v>636</v>
      </c>
      <c r="J113" t="s">
        <v>637</v>
      </c>
      <c r="K113" t="s">
        <v>638</v>
      </c>
      <c r="L113">
        <v>1348</v>
      </c>
      <c r="N113">
        <v>1009</v>
      </c>
      <c r="O113" t="s">
        <v>94</v>
      </c>
      <c r="P113" t="s">
        <v>94</v>
      </c>
      <c r="Q113">
        <v>1000</v>
      </c>
      <c r="X113">
        <v>1.5E-3</v>
      </c>
      <c r="Y113">
        <v>75885.63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1.5E-3</v>
      </c>
      <c r="AH113">
        <v>2</v>
      </c>
      <c r="AI113">
        <v>65171232</v>
      </c>
      <c r="AJ113">
        <v>118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ROW(Source!A80)</f>
        <v>80</v>
      </c>
      <c r="B114">
        <v>65171250</v>
      </c>
      <c r="C114">
        <v>65171241</v>
      </c>
      <c r="D114">
        <v>37064928</v>
      </c>
      <c r="E114">
        <v>108</v>
      </c>
      <c r="F114">
        <v>1</v>
      </c>
      <c r="G114">
        <v>1</v>
      </c>
      <c r="H114">
        <v>1</v>
      </c>
      <c r="I114" t="s">
        <v>639</v>
      </c>
      <c r="J114" t="s">
        <v>3</v>
      </c>
      <c r="K114" t="s">
        <v>640</v>
      </c>
      <c r="L114">
        <v>1191</v>
      </c>
      <c r="N114">
        <v>1013</v>
      </c>
      <c r="O114" t="s">
        <v>509</v>
      </c>
      <c r="P114" t="s">
        <v>509</v>
      </c>
      <c r="Q114">
        <v>1</v>
      </c>
      <c r="X114">
        <v>2.13</v>
      </c>
      <c r="Y114">
        <v>0</v>
      </c>
      <c r="Z114">
        <v>0</v>
      </c>
      <c r="AA114">
        <v>0</v>
      </c>
      <c r="AB114">
        <v>463.09</v>
      </c>
      <c r="AC114">
        <v>0</v>
      </c>
      <c r="AD114">
        <v>1</v>
      </c>
      <c r="AE114">
        <v>1</v>
      </c>
      <c r="AF114" t="s">
        <v>3</v>
      </c>
      <c r="AG114">
        <v>2.13</v>
      </c>
      <c r="AH114">
        <v>2</v>
      </c>
      <c r="AI114">
        <v>65171242</v>
      </c>
      <c r="AJ114">
        <v>119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ROW(Source!A80)</f>
        <v>80</v>
      </c>
      <c r="B115">
        <v>65171251</v>
      </c>
      <c r="C115">
        <v>65171241</v>
      </c>
      <c r="D115">
        <v>37064876</v>
      </c>
      <c r="E115">
        <v>108</v>
      </c>
      <c r="F115">
        <v>1</v>
      </c>
      <c r="G115">
        <v>1</v>
      </c>
      <c r="H115">
        <v>1</v>
      </c>
      <c r="I115" t="s">
        <v>510</v>
      </c>
      <c r="J115" t="s">
        <v>3</v>
      </c>
      <c r="K115" t="s">
        <v>511</v>
      </c>
      <c r="L115">
        <v>1191</v>
      </c>
      <c r="N115">
        <v>1013</v>
      </c>
      <c r="O115" t="s">
        <v>509</v>
      </c>
      <c r="P115" t="s">
        <v>509</v>
      </c>
      <c r="Q115">
        <v>1</v>
      </c>
      <c r="X115">
        <v>0.02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2</v>
      </c>
      <c r="AF115" t="s">
        <v>3</v>
      </c>
      <c r="AG115">
        <v>0.02</v>
      </c>
      <c r="AH115">
        <v>2</v>
      </c>
      <c r="AI115">
        <v>65171243</v>
      </c>
      <c r="AJ115">
        <v>120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ROW(Source!A80)</f>
        <v>80</v>
      </c>
      <c r="B116">
        <v>65171252</v>
      </c>
      <c r="C116">
        <v>65171241</v>
      </c>
      <c r="D116">
        <v>56571642</v>
      </c>
      <c r="E116">
        <v>1</v>
      </c>
      <c r="F116">
        <v>1</v>
      </c>
      <c r="G116">
        <v>1</v>
      </c>
      <c r="H116">
        <v>2</v>
      </c>
      <c r="I116" t="s">
        <v>619</v>
      </c>
      <c r="J116" t="s">
        <v>620</v>
      </c>
      <c r="K116" t="s">
        <v>621</v>
      </c>
      <c r="L116">
        <v>1368</v>
      </c>
      <c r="N116">
        <v>1011</v>
      </c>
      <c r="O116" t="s">
        <v>515</v>
      </c>
      <c r="P116" t="s">
        <v>515</v>
      </c>
      <c r="Q116">
        <v>1</v>
      </c>
      <c r="X116">
        <v>0.01</v>
      </c>
      <c r="Y116">
        <v>0</v>
      </c>
      <c r="Z116">
        <v>6.62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0.01</v>
      </c>
      <c r="AH116">
        <v>2</v>
      </c>
      <c r="AI116">
        <v>65171244</v>
      </c>
      <c r="AJ116">
        <v>121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ROW(Source!A80)</f>
        <v>80</v>
      </c>
      <c r="B117">
        <v>65171253</v>
      </c>
      <c r="C117">
        <v>65171241</v>
      </c>
      <c r="D117">
        <v>56571671</v>
      </c>
      <c r="E117">
        <v>1</v>
      </c>
      <c r="F117">
        <v>1</v>
      </c>
      <c r="G117">
        <v>1</v>
      </c>
      <c r="H117">
        <v>2</v>
      </c>
      <c r="I117" t="s">
        <v>622</v>
      </c>
      <c r="J117" t="s">
        <v>623</v>
      </c>
      <c r="K117" t="s">
        <v>624</v>
      </c>
      <c r="L117">
        <v>1368</v>
      </c>
      <c r="N117">
        <v>1011</v>
      </c>
      <c r="O117" t="s">
        <v>515</v>
      </c>
      <c r="P117" t="s">
        <v>515</v>
      </c>
      <c r="Q117">
        <v>1</v>
      </c>
      <c r="X117">
        <v>0.01</v>
      </c>
      <c r="Y117">
        <v>0</v>
      </c>
      <c r="Z117">
        <v>1558.39</v>
      </c>
      <c r="AA117">
        <v>563.76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0.01</v>
      </c>
      <c r="AH117">
        <v>2</v>
      </c>
      <c r="AI117">
        <v>65171245</v>
      </c>
      <c r="AJ117">
        <v>122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ROW(Source!A80)</f>
        <v>80</v>
      </c>
      <c r="B118">
        <v>65171254</v>
      </c>
      <c r="C118">
        <v>65171241</v>
      </c>
      <c r="D118">
        <v>56572833</v>
      </c>
      <c r="E118">
        <v>1</v>
      </c>
      <c r="F118">
        <v>1</v>
      </c>
      <c r="G118">
        <v>1</v>
      </c>
      <c r="H118">
        <v>2</v>
      </c>
      <c r="I118" t="s">
        <v>520</v>
      </c>
      <c r="J118" t="s">
        <v>521</v>
      </c>
      <c r="K118" t="s">
        <v>522</v>
      </c>
      <c r="L118">
        <v>1368</v>
      </c>
      <c r="N118">
        <v>1011</v>
      </c>
      <c r="O118" t="s">
        <v>515</v>
      </c>
      <c r="P118" t="s">
        <v>515</v>
      </c>
      <c r="Q118">
        <v>1</v>
      </c>
      <c r="X118">
        <v>0.01</v>
      </c>
      <c r="Y118">
        <v>0</v>
      </c>
      <c r="Z118">
        <v>477.92</v>
      </c>
      <c r="AA118">
        <v>490.55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0.01</v>
      </c>
      <c r="AH118">
        <v>2</v>
      </c>
      <c r="AI118">
        <v>65171246</v>
      </c>
      <c r="AJ118">
        <v>123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ROW(Source!A80)</f>
        <v>80</v>
      </c>
      <c r="B119">
        <v>65171255</v>
      </c>
      <c r="C119">
        <v>65171241</v>
      </c>
      <c r="D119">
        <v>56573728</v>
      </c>
      <c r="E119">
        <v>1</v>
      </c>
      <c r="F119">
        <v>1</v>
      </c>
      <c r="G119">
        <v>1</v>
      </c>
      <c r="H119">
        <v>2</v>
      </c>
      <c r="I119" t="s">
        <v>633</v>
      </c>
      <c r="J119" t="s">
        <v>634</v>
      </c>
      <c r="K119" t="s">
        <v>635</v>
      </c>
      <c r="L119">
        <v>1368</v>
      </c>
      <c r="N119">
        <v>1011</v>
      </c>
      <c r="O119" t="s">
        <v>515</v>
      </c>
      <c r="P119" t="s">
        <v>515</v>
      </c>
      <c r="Q119">
        <v>1</v>
      </c>
      <c r="X119">
        <v>0.65</v>
      </c>
      <c r="Y119">
        <v>0</v>
      </c>
      <c r="Z119">
        <v>6.04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0.65</v>
      </c>
      <c r="AH119">
        <v>2</v>
      </c>
      <c r="AI119">
        <v>65171247</v>
      </c>
      <c r="AJ119">
        <v>124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ROW(Source!A80)</f>
        <v>80</v>
      </c>
      <c r="B120">
        <v>65171256</v>
      </c>
      <c r="C120">
        <v>65171241</v>
      </c>
      <c r="D120">
        <v>56610244</v>
      </c>
      <c r="E120">
        <v>1</v>
      </c>
      <c r="F120">
        <v>1</v>
      </c>
      <c r="G120">
        <v>1</v>
      </c>
      <c r="H120">
        <v>3</v>
      </c>
      <c r="I120" t="s">
        <v>641</v>
      </c>
      <c r="J120" t="s">
        <v>642</v>
      </c>
      <c r="K120" t="s">
        <v>643</v>
      </c>
      <c r="L120">
        <v>1348</v>
      </c>
      <c r="N120">
        <v>1009</v>
      </c>
      <c r="O120" t="s">
        <v>94</v>
      </c>
      <c r="P120" t="s">
        <v>94</v>
      </c>
      <c r="Q120">
        <v>1000</v>
      </c>
      <c r="X120">
        <v>8.9999999999999993E-3</v>
      </c>
      <c r="Y120">
        <v>60045.35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8.9999999999999993E-3</v>
      </c>
      <c r="AH120">
        <v>2</v>
      </c>
      <c r="AI120">
        <v>65171248</v>
      </c>
      <c r="AJ120">
        <v>125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ROW(Source!A80)</f>
        <v>80</v>
      </c>
      <c r="B121">
        <v>65171257</v>
      </c>
      <c r="C121">
        <v>65171241</v>
      </c>
      <c r="D121">
        <v>56610726</v>
      </c>
      <c r="E121">
        <v>1</v>
      </c>
      <c r="F121">
        <v>1</v>
      </c>
      <c r="G121">
        <v>1</v>
      </c>
      <c r="H121">
        <v>3</v>
      </c>
      <c r="I121" t="s">
        <v>628</v>
      </c>
      <c r="J121" t="s">
        <v>629</v>
      </c>
      <c r="K121" t="s">
        <v>630</v>
      </c>
      <c r="L121">
        <v>1346</v>
      </c>
      <c r="N121">
        <v>1009</v>
      </c>
      <c r="O121" t="s">
        <v>549</v>
      </c>
      <c r="P121" t="s">
        <v>549</v>
      </c>
      <c r="Q121">
        <v>1</v>
      </c>
      <c r="X121">
        <v>1.4</v>
      </c>
      <c r="Y121">
        <v>60.6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1.4</v>
      </c>
      <c r="AH121">
        <v>2</v>
      </c>
      <c r="AI121">
        <v>65171249</v>
      </c>
      <c r="AJ121">
        <v>126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ROW(Source!A81)</f>
        <v>81</v>
      </c>
      <c r="B122">
        <v>65171262</v>
      </c>
      <c r="C122">
        <v>65171258</v>
      </c>
      <c r="D122">
        <v>37193702</v>
      </c>
      <c r="E122">
        <v>108</v>
      </c>
      <c r="F122">
        <v>1</v>
      </c>
      <c r="G122">
        <v>1</v>
      </c>
      <c r="H122">
        <v>1</v>
      </c>
      <c r="I122" t="s">
        <v>644</v>
      </c>
      <c r="J122" t="s">
        <v>3</v>
      </c>
      <c r="K122" t="s">
        <v>645</v>
      </c>
      <c r="L122">
        <v>1191</v>
      </c>
      <c r="N122">
        <v>1013</v>
      </c>
      <c r="O122" t="s">
        <v>509</v>
      </c>
      <c r="P122" t="s">
        <v>509</v>
      </c>
      <c r="Q122">
        <v>1</v>
      </c>
      <c r="X122">
        <v>83</v>
      </c>
      <c r="Y122">
        <v>0</v>
      </c>
      <c r="Z122">
        <v>0</v>
      </c>
      <c r="AA122">
        <v>0</v>
      </c>
      <c r="AB122">
        <v>372.67</v>
      </c>
      <c r="AC122">
        <v>0</v>
      </c>
      <c r="AD122">
        <v>1</v>
      </c>
      <c r="AE122">
        <v>1</v>
      </c>
      <c r="AF122" t="s">
        <v>3</v>
      </c>
      <c r="AG122">
        <v>83</v>
      </c>
      <c r="AH122">
        <v>2</v>
      </c>
      <c r="AI122">
        <v>65171259</v>
      </c>
      <c r="AJ122">
        <v>127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ROW(Source!A81)</f>
        <v>81</v>
      </c>
      <c r="B123">
        <v>65171263</v>
      </c>
      <c r="C123">
        <v>65171258</v>
      </c>
      <c r="D123">
        <v>37064876</v>
      </c>
      <c r="E123">
        <v>108</v>
      </c>
      <c r="F123">
        <v>1</v>
      </c>
      <c r="G123">
        <v>1</v>
      </c>
      <c r="H123">
        <v>1</v>
      </c>
      <c r="I123" t="s">
        <v>510</v>
      </c>
      <c r="J123" t="s">
        <v>3</v>
      </c>
      <c r="K123" t="s">
        <v>511</v>
      </c>
      <c r="L123">
        <v>1191</v>
      </c>
      <c r="N123">
        <v>1013</v>
      </c>
      <c r="O123" t="s">
        <v>509</v>
      </c>
      <c r="P123" t="s">
        <v>509</v>
      </c>
      <c r="Q123">
        <v>1</v>
      </c>
      <c r="X123">
        <v>42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2</v>
      </c>
      <c r="AF123" t="s">
        <v>3</v>
      </c>
      <c r="AG123">
        <v>42</v>
      </c>
      <c r="AH123">
        <v>2</v>
      </c>
      <c r="AI123">
        <v>65171260</v>
      </c>
      <c r="AJ123">
        <v>128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ROW(Source!A81)</f>
        <v>81</v>
      </c>
      <c r="B124">
        <v>65171264</v>
      </c>
      <c r="C124">
        <v>65171258</v>
      </c>
      <c r="D124">
        <v>56572844</v>
      </c>
      <c r="E124">
        <v>1</v>
      </c>
      <c r="F124">
        <v>1</v>
      </c>
      <c r="G124">
        <v>1</v>
      </c>
      <c r="H124">
        <v>2</v>
      </c>
      <c r="I124" t="s">
        <v>646</v>
      </c>
      <c r="J124" t="s">
        <v>647</v>
      </c>
      <c r="K124" t="s">
        <v>648</v>
      </c>
      <c r="L124">
        <v>1368</v>
      </c>
      <c r="N124">
        <v>1011</v>
      </c>
      <c r="O124" t="s">
        <v>515</v>
      </c>
      <c r="P124" t="s">
        <v>515</v>
      </c>
      <c r="Q124">
        <v>1</v>
      </c>
      <c r="X124">
        <v>42</v>
      </c>
      <c r="Y124">
        <v>0</v>
      </c>
      <c r="Z124">
        <v>610.91999999999996</v>
      </c>
      <c r="AA124">
        <v>490.55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42</v>
      </c>
      <c r="AH124">
        <v>2</v>
      </c>
      <c r="AI124">
        <v>65171261</v>
      </c>
      <c r="AJ124">
        <v>129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ROW(Source!A83)</f>
        <v>83</v>
      </c>
      <c r="B125">
        <v>65171269</v>
      </c>
      <c r="C125">
        <v>65171266</v>
      </c>
      <c r="D125">
        <v>37197992</v>
      </c>
      <c r="E125">
        <v>108</v>
      </c>
      <c r="F125">
        <v>1</v>
      </c>
      <c r="G125">
        <v>1</v>
      </c>
      <c r="H125">
        <v>1</v>
      </c>
      <c r="I125" t="s">
        <v>649</v>
      </c>
      <c r="J125" t="s">
        <v>3</v>
      </c>
      <c r="K125" t="s">
        <v>650</v>
      </c>
      <c r="L125">
        <v>1191</v>
      </c>
      <c r="N125">
        <v>1013</v>
      </c>
      <c r="O125" t="s">
        <v>509</v>
      </c>
      <c r="P125" t="s">
        <v>509</v>
      </c>
      <c r="Q125">
        <v>1</v>
      </c>
      <c r="X125">
        <v>188</v>
      </c>
      <c r="Y125">
        <v>0</v>
      </c>
      <c r="Z125">
        <v>0</v>
      </c>
      <c r="AA125">
        <v>0</v>
      </c>
      <c r="AB125">
        <v>369.37</v>
      </c>
      <c r="AC125">
        <v>0</v>
      </c>
      <c r="AD125">
        <v>1</v>
      </c>
      <c r="AE125">
        <v>1</v>
      </c>
      <c r="AF125" t="s">
        <v>3</v>
      </c>
      <c r="AG125">
        <v>188</v>
      </c>
      <c r="AH125">
        <v>2</v>
      </c>
      <c r="AI125">
        <v>65171267</v>
      </c>
      <c r="AJ125">
        <v>130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ROW(Source!A83)</f>
        <v>83</v>
      </c>
      <c r="B126">
        <v>65171270</v>
      </c>
      <c r="C126">
        <v>65171266</v>
      </c>
      <c r="D126">
        <v>56223456</v>
      </c>
      <c r="E126">
        <v>108</v>
      </c>
      <c r="F126">
        <v>1</v>
      </c>
      <c r="G126">
        <v>1</v>
      </c>
      <c r="H126">
        <v>3</v>
      </c>
      <c r="I126" t="s">
        <v>651</v>
      </c>
      <c r="J126" t="s">
        <v>3</v>
      </c>
      <c r="K126" t="s">
        <v>652</v>
      </c>
      <c r="L126">
        <v>1348</v>
      </c>
      <c r="N126">
        <v>1009</v>
      </c>
      <c r="O126" t="s">
        <v>94</v>
      </c>
      <c r="P126" t="s">
        <v>94</v>
      </c>
      <c r="Q126">
        <v>1000</v>
      </c>
      <c r="X126">
        <v>100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 t="s">
        <v>3</v>
      </c>
      <c r="AG126">
        <v>100</v>
      </c>
      <c r="AH126">
        <v>2</v>
      </c>
      <c r="AI126">
        <v>65171268</v>
      </c>
      <c r="AJ126">
        <v>131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ROW(Source!A84)</f>
        <v>84</v>
      </c>
      <c r="B127">
        <v>65171275</v>
      </c>
      <c r="C127">
        <v>65171271</v>
      </c>
      <c r="D127">
        <v>37193702</v>
      </c>
      <c r="E127">
        <v>108</v>
      </c>
      <c r="F127">
        <v>1</v>
      </c>
      <c r="G127">
        <v>1</v>
      </c>
      <c r="H127">
        <v>1</v>
      </c>
      <c r="I127" t="s">
        <v>644</v>
      </c>
      <c r="J127" t="s">
        <v>3</v>
      </c>
      <c r="K127" t="s">
        <v>645</v>
      </c>
      <c r="L127">
        <v>1191</v>
      </c>
      <c r="N127">
        <v>1013</v>
      </c>
      <c r="O127" t="s">
        <v>509</v>
      </c>
      <c r="P127" t="s">
        <v>509</v>
      </c>
      <c r="Q127">
        <v>1</v>
      </c>
      <c r="X127">
        <v>83</v>
      </c>
      <c r="Y127">
        <v>0</v>
      </c>
      <c r="Z127">
        <v>0</v>
      </c>
      <c r="AA127">
        <v>0</v>
      </c>
      <c r="AB127">
        <v>372.67</v>
      </c>
      <c r="AC127">
        <v>0</v>
      </c>
      <c r="AD127">
        <v>1</v>
      </c>
      <c r="AE127">
        <v>1</v>
      </c>
      <c r="AF127" t="s">
        <v>3</v>
      </c>
      <c r="AG127">
        <v>83</v>
      </c>
      <c r="AH127">
        <v>2</v>
      </c>
      <c r="AI127">
        <v>65171272</v>
      </c>
      <c r="AJ127">
        <v>132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ROW(Source!A84)</f>
        <v>84</v>
      </c>
      <c r="B128">
        <v>65171276</v>
      </c>
      <c r="C128">
        <v>65171271</v>
      </c>
      <c r="D128">
        <v>37064876</v>
      </c>
      <c r="E128">
        <v>108</v>
      </c>
      <c r="F128">
        <v>1</v>
      </c>
      <c r="G128">
        <v>1</v>
      </c>
      <c r="H128">
        <v>1</v>
      </c>
      <c r="I128" t="s">
        <v>510</v>
      </c>
      <c r="J128" t="s">
        <v>3</v>
      </c>
      <c r="K128" t="s">
        <v>511</v>
      </c>
      <c r="L128">
        <v>1191</v>
      </c>
      <c r="N128">
        <v>1013</v>
      </c>
      <c r="O128" t="s">
        <v>509</v>
      </c>
      <c r="P128" t="s">
        <v>509</v>
      </c>
      <c r="Q128">
        <v>1</v>
      </c>
      <c r="X128">
        <v>42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2</v>
      </c>
      <c r="AF128" t="s">
        <v>3</v>
      </c>
      <c r="AG128">
        <v>42</v>
      </c>
      <c r="AH128">
        <v>2</v>
      </c>
      <c r="AI128">
        <v>65171273</v>
      </c>
      <c r="AJ128">
        <v>133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ROW(Source!A84)</f>
        <v>84</v>
      </c>
      <c r="B129">
        <v>65171277</v>
      </c>
      <c r="C129">
        <v>65171271</v>
      </c>
      <c r="D129">
        <v>56572844</v>
      </c>
      <c r="E129">
        <v>1</v>
      </c>
      <c r="F129">
        <v>1</v>
      </c>
      <c r="G129">
        <v>1</v>
      </c>
      <c r="H129">
        <v>2</v>
      </c>
      <c r="I129" t="s">
        <v>646</v>
      </c>
      <c r="J129" t="s">
        <v>647</v>
      </c>
      <c r="K129" t="s">
        <v>648</v>
      </c>
      <c r="L129">
        <v>1368</v>
      </c>
      <c r="N129">
        <v>1011</v>
      </c>
      <c r="O129" t="s">
        <v>515</v>
      </c>
      <c r="P129" t="s">
        <v>515</v>
      </c>
      <c r="Q129">
        <v>1</v>
      </c>
      <c r="X129">
        <v>42</v>
      </c>
      <c r="Y129">
        <v>0</v>
      </c>
      <c r="Z129">
        <v>610.91999999999996</v>
      </c>
      <c r="AA129">
        <v>490.55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42</v>
      </c>
      <c r="AH129">
        <v>2</v>
      </c>
      <c r="AI129">
        <v>65171274</v>
      </c>
      <c r="AJ129">
        <v>134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ROW(Source!A121)</f>
        <v>121</v>
      </c>
      <c r="B130">
        <v>65171347</v>
      </c>
      <c r="C130">
        <v>65171336</v>
      </c>
      <c r="D130">
        <v>37071037</v>
      </c>
      <c r="E130">
        <v>108</v>
      </c>
      <c r="F130">
        <v>1</v>
      </c>
      <c r="G130">
        <v>1</v>
      </c>
      <c r="H130">
        <v>1</v>
      </c>
      <c r="I130" t="s">
        <v>653</v>
      </c>
      <c r="J130" t="s">
        <v>3</v>
      </c>
      <c r="K130" t="s">
        <v>654</v>
      </c>
      <c r="L130">
        <v>1191</v>
      </c>
      <c r="N130">
        <v>1013</v>
      </c>
      <c r="O130" t="s">
        <v>509</v>
      </c>
      <c r="P130" t="s">
        <v>509</v>
      </c>
      <c r="Q130">
        <v>1</v>
      </c>
      <c r="X130">
        <v>27.8</v>
      </c>
      <c r="Y130">
        <v>0</v>
      </c>
      <c r="Z130">
        <v>0</v>
      </c>
      <c r="AA130">
        <v>0</v>
      </c>
      <c r="AB130">
        <v>490.55</v>
      </c>
      <c r="AC130">
        <v>0</v>
      </c>
      <c r="AD130">
        <v>1</v>
      </c>
      <c r="AE130">
        <v>1</v>
      </c>
      <c r="AF130" t="s">
        <v>223</v>
      </c>
      <c r="AG130">
        <v>8.34</v>
      </c>
      <c r="AH130">
        <v>2</v>
      </c>
      <c r="AI130">
        <v>65171337</v>
      </c>
      <c r="AJ130">
        <v>135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ROW(Source!A121)</f>
        <v>121</v>
      </c>
      <c r="B131">
        <v>65171348</v>
      </c>
      <c r="C131">
        <v>65171336</v>
      </c>
      <c r="D131">
        <v>37064876</v>
      </c>
      <c r="E131">
        <v>108</v>
      </c>
      <c r="F131">
        <v>1</v>
      </c>
      <c r="G131">
        <v>1</v>
      </c>
      <c r="H131">
        <v>1</v>
      </c>
      <c r="I131" t="s">
        <v>510</v>
      </c>
      <c r="J131" t="s">
        <v>3</v>
      </c>
      <c r="K131" t="s">
        <v>511</v>
      </c>
      <c r="L131">
        <v>1191</v>
      </c>
      <c r="N131">
        <v>1013</v>
      </c>
      <c r="O131" t="s">
        <v>509</v>
      </c>
      <c r="P131" t="s">
        <v>509</v>
      </c>
      <c r="Q131">
        <v>1</v>
      </c>
      <c r="X131">
        <v>7.6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2</v>
      </c>
      <c r="AF131" t="s">
        <v>223</v>
      </c>
      <c r="AG131">
        <v>2.2799999999999998</v>
      </c>
      <c r="AH131">
        <v>2</v>
      </c>
      <c r="AI131">
        <v>65171338</v>
      </c>
      <c r="AJ131">
        <v>136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ROW(Source!A121)</f>
        <v>121</v>
      </c>
      <c r="B132">
        <v>65171349</v>
      </c>
      <c r="C132">
        <v>65171336</v>
      </c>
      <c r="D132">
        <v>56571417</v>
      </c>
      <c r="E132">
        <v>1</v>
      </c>
      <c r="F132">
        <v>1</v>
      </c>
      <c r="G132">
        <v>1</v>
      </c>
      <c r="H132">
        <v>2</v>
      </c>
      <c r="I132" t="s">
        <v>512</v>
      </c>
      <c r="J132" t="s">
        <v>513</v>
      </c>
      <c r="K132" t="s">
        <v>514</v>
      </c>
      <c r="L132">
        <v>1368</v>
      </c>
      <c r="N132">
        <v>1011</v>
      </c>
      <c r="O132" t="s">
        <v>515</v>
      </c>
      <c r="P132" t="s">
        <v>515</v>
      </c>
      <c r="Q132">
        <v>1</v>
      </c>
      <c r="X132">
        <v>6.55</v>
      </c>
      <c r="Y132">
        <v>0</v>
      </c>
      <c r="Z132">
        <v>1551.19</v>
      </c>
      <c r="AA132">
        <v>658.94</v>
      </c>
      <c r="AB132">
        <v>0</v>
      </c>
      <c r="AC132">
        <v>0</v>
      </c>
      <c r="AD132">
        <v>1</v>
      </c>
      <c r="AE132">
        <v>0</v>
      </c>
      <c r="AF132" t="s">
        <v>223</v>
      </c>
      <c r="AG132">
        <v>1.9649999999999999</v>
      </c>
      <c r="AH132">
        <v>2</v>
      </c>
      <c r="AI132">
        <v>65171339</v>
      </c>
      <c r="AJ132">
        <v>137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ROW(Source!A121)</f>
        <v>121</v>
      </c>
      <c r="B133">
        <v>65171350</v>
      </c>
      <c r="C133">
        <v>65171336</v>
      </c>
      <c r="D133">
        <v>56572833</v>
      </c>
      <c r="E133">
        <v>1</v>
      </c>
      <c r="F133">
        <v>1</v>
      </c>
      <c r="G133">
        <v>1</v>
      </c>
      <c r="H133">
        <v>2</v>
      </c>
      <c r="I133" t="s">
        <v>520</v>
      </c>
      <c r="J133" t="s">
        <v>521</v>
      </c>
      <c r="K133" t="s">
        <v>522</v>
      </c>
      <c r="L133">
        <v>1368</v>
      </c>
      <c r="N133">
        <v>1011</v>
      </c>
      <c r="O133" t="s">
        <v>515</v>
      </c>
      <c r="P133" t="s">
        <v>515</v>
      </c>
      <c r="Q133">
        <v>1</v>
      </c>
      <c r="X133">
        <v>1.05</v>
      </c>
      <c r="Y133">
        <v>0</v>
      </c>
      <c r="Z133">
        <v>477.92</v>
      </c>
      <c r="AA133">
        <v>490.55</v>
      </c>
      <c r="AB133">
        <v>0</v>
      </c>
      <c r="AC133">
        <v>0</v>
      </c>
      <c r="AD133">
        <v>1</v>
      </c>
      <c r="AE133">
        <v>0</v>
      </c>
      <c r="AF133" t="s">
        <v>223</v>
      </c>
      <c r="AG133">
        <v>0.315</v>
      </c>
      <c r="AH133">
        <v>2</v>
      </c>
      <c r="AI133">
        <v>65171340</v>
      </c>
      <c r="AJ133">
        <v>138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ROW(Source!A121)</f>
        <v>121</v>
      </c>
      <c r="B134">
        <v>65171351</v>
      </c>
      <c r="C134">
        <v>65171336</v>
      </c>
      <c r="D134">
        <v>56573153</v>
      </c>
      <c r="E134">
        <v>1</v>
      </c>
      <c r="F134">
        <v>1</v>
      </c>
      <c r="G134">
        <v>1</v>
      </c>
      <c r="H134">
        <v>2</v>
      </c>
      <c r="I134" t="s">
        <v>655</v>
      </c>
      <c r="J134" t="s">
        <v>656</v>
      </c>
      <c r="K134" t="s">
        <v>657</v>
      </c>
      <c r="L134">
        <v>1368</v>
      </c>
      <c r="N134">
        <v>1011</v>
      </c>
      <c r="O134" t="s">
        <v>515</v>
      </c>
      <c r="P134" t="s">
        <v>515</v>
      </c>
      <c r="Q134">
        <v>1</v>
      </c>
      <c r="X134">
        <v>1.86</v>
      </c>
      <c r="Y134">
        <v>0</v>
      </c>
      <c r="Z134">
        <v>26.32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223</v>
      </c>
      <c r="AG134">
        <v>0.55800000000000005</v>
      </c>
      <c r="AH134">
        <v>2</v>
      </c>
      <c r="AI134">
        <v>65171341</v>
      </c>
      <c r="AJ134">
        <v>139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ROW(Source!A121)</f>
        <v>121</v>
      </c>
      <c r="B135">
        <v>65171352</v>
      </c>
      <c r="C135">
        <v>65171336</v>
      </c>
      <c r="D135">
        <v>56574475</v>
      </c>
      <c r="E135">
        <v>1</v>
      </c>
      <c r="F135">
        <v>1</v>
      </c>
      <c r="G135">
        <v>1</v>
      </c>
      <c r="H135">
        <v>3</v>
      </c>
      <c r="I135" t="s">
        <v>658</v>
      </c>
      <c r="J135" t="s">
        <v>659</v>
      </c>
      <c r="K135" t="s">
        <v>660</v>
      </c>
      <c r="L135">
        <v>1348</v>
      </c>
      <c r="N135">
        <v>1009</v>
      </c>
      <c r="O135" t="s">
        <v>94</v>
      </c>
      <c r="P135" t="s">
        <v>94</v>
      </c>
      <c r="Q135">
        <v>1000</v>
      </c>
      <c r="X135">
        <v>1E-3</v>
      </c>
      <c r="Y135">
        <v>305052.55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97</v>
      </c>
      <c r="AG135">
        <v>0</v>
      </c>
      <c r="AH135">
        <v>2</v>
      </c>
      <c r="AI135">
        <v>65171342</v>
      </c>
      <c r="AJ135">
        <v>140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ROW(Source!A121)</f>
        <v>121</v>
      </c>
      <c r="B136">
        <v>65171353</v>
      </c>
      <c r="C136">
        <v>65171336</v>
      </c>
      <c r="D136">
        <v>56579266</v>
      </c>
      <c r="E136">
        <v>1</v>
      </c>
      <c r="F136">
        <v>1</v>
      </c>
      <c r="G136">
        <v>1</v>
      </c>
      <c r="H136">
        <v>3</v>
      </c>
      <c r="I136" t="s">
        <v>550</v>
      </c>
      <c r="J136" t="s">
        <v>551</v>
      </c>
      <c r="K136" t="s">
        <v>552</v>
      </c>
      <c r="L136">
        <v>1346</v>
      </c>
      <c r="N136">
        <v>1009</v>
      </c>
      <c r="O136" t="s">
        <v>549</v>
      </c>
      <c r="P136" t="s">
        <v>549</v>
      </c>
      <c r="Q136">
        <v>1</v>
      </c>
      <c r="X136">
        <v>1.36</v>
      </c>
      <c r="Y136">
        <v>155.63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97</v>
      </c>
      <c r="AG136">
        <v>0</v>
      </c>
      <c r="AH136">
        <v>2</v>
      </c>
      <c r="AI136">
        <v>65171343</v>
      </c>
      <c r="AJ136">
        <v>141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ROW(Source!A121)</f>
        <v>121</v>
      </c>
      <c r="B137">
        <v>65171354</v>
      </c>
      <c r="C137">
        <v>65171336</v>
      </c>
      <c r="D137">
        <v>56592838</v>
      </c>
      <c r="E137">
        <v>1</v>
      </c>
      <c r="F137">
        <v>1</v>
      </c>
      <c r="G137">
        <v>1</v>
      </c>
      <c r="H137">
        <v>3</v>
      </c>
      <c r="I137" t="s">
        <v>661</v>
      </c>
      <c r="J137" t="s">
        <v>662</v>
      </c>
      <c r="K137" t="s">
        <v>663</v>
      </c>
      <c r="L137">
        <v>1348</v>
      </c>
      <c r="N137">
        <v>1009</v>
      </c>
      <c r="O137" t="s">
        <v>94</v>
      </c>
      <c r="P137" t="s">
        <v>94</v>
      </c>
      <c r="Q137">
        <v>1000</v>
      </c>
      <c r="X137">
        <v>7.0000000000000001E-3</v>
      </c>
      <c r="Y137">
        <v>70310.45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97</v>
      </c>
      <c r="AG137">
        <v>0</v>
      </c>
      <c r="AH137">
        <v>2</v>
      </c>
      <c r="AI137">
        <v>65171344</v>
      </c>
      <c r="AJ137">
        <v>142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ROW(Source!A121)</f>
        <v>121</v>
      </c>
      <c r="B138">
        <v>65171355</v>
      </c>
      <c r="C138">
        <v>65171336</v>
      </c>
      <c r="D138">
        <v>56610296</v>
      </c>
      <c r="E138">
        <v>1</v>
      </c>
      <c r="F138">
        <v>1</v>
      </c>
      <c r="G138">
        <v>1</v>
      </c>
      <c r="H138">
        <v>3</v>
      </c>
      <c r="I138" t="s">
        <v>664</v>
      </c>
      <c r="J138" t="s">
        <v>665</v>
      </c>
      <c r="K138" t="s">
        <v>666</v>
      </c>
      <c r="L138">
        <v>1348</v>
      </c>
      <c r="N138">
        <v>1009</v>
      </c>
      <c r="O138" t="s">
        <v>94</v>
      </c>
      <c r="P138" t="s">
        <v>94</v>
      </c>
      <c r="Q138">
        <v>1000</v>
      </c>
      <c r="X138">
        <v>1.8000000000000001E-4</v>
      </c>
      <c r="Y138">
        <v>254539.74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97</v>
      </c>
      <c r="AG138">
        <v>0</v>
      </c>
      <c r="AH138">
        <v>2</v>
      </c>
      <c r="AI138">
        <v>65171345</v>
      </c>
      <c r="AJ138">
        <v>143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ROW(Source!A121)</f>
        <v>121</v>
      </c>
      <c r="B139">
        <v>65171356</v>
      </c>
      <c r="C139">
        <v>65171336</v>
      </c>
      <c r="D139">
        <v>56223463</v>
      </c>
      <c r="E139">
        <v>108</v>
      </c>
      <c r="F139">
        <v>1</v>
      </c>
      <c r="G139">
        <v>1</v>
      </c>
      <c r="H139">
        <v>3</v>
      </c>
      <c r="I139" t="s">
        <v>667</v>
      </c>
      <c r="J139" t="s">
        <v>3</v>
      </c>
      <c r="K139" t="s">
        <v>668</v>
      </c>
      <c r="L139">
        <v>3277935</v>
      </c>
      <c r="N139">
        <v>1013</v>
      </c>
      <c r="O139" t="s">
        <v>669</v>
      </c>
      <c r="P139" t="s">
        <v>669</v>
      </c>
      <c r="Q139">
        <v>1</v>
      </c>
      <c r="X139">
        <v>2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 t="s">
        <v>97</v>
      </c>
      <c r="AG139">
        <v>0</v>
      </c>
      <c r="AH139">
        <v>2</v>
      </c>
      <c r="AI139">
        <v>65171346</v>
      </c>
      <c r="AJ139">
        <v>144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ROW(Source!A122)</f>
        <v>122</v>
      </c>
      <c r="B140">
        <v>65171365</v>
      </c>
      <c r="C140">
        <v>65171357</v>
      </c>
      <c r="D140">
        <v>37071037</v>
      </c>
      <c r="E140">
        <v>108</v>
      </c>
      <c r="F140">
        <v>1</v>
      </c>
      <c r="G140">
        <v>1</v>
      </c>
      <c r="H140">
        <v>1</v>
      </c>
      <c r="I140" t="s">
        <v>653</v>
      </c>
      <c r="J140" t="s">
        <v>3</v>
      </c>
      <c r="K140" t="s">
        <v>654</v>
      </c>
      <c r="L140">
        <v>1191</v>
      </c>
      <c r="N140">
        <v>1013</v>
      </c>
      <c r="O140" t="s">
        <v>509</v>
      </c>
      <c r="P140" t="s">
        <v>509</v>
      </c>
      <c r="Q140">
        <v>1</v>
      </c>
      <c r="X140">
        <v>19.7</v>
      </c>
      <c r="Y140">
        <v>0</v>
      </c>
      <c r="Z140">
        <v>0</v>
      </c>
      <c r="AA140">
        <v>0</v>
      </c>
      <c r="AB140">
        <v>490.55</v>
      </c>
      <c r="AC140">
        <v>0</v>
      </c>
      <c r="AD140">
        <v>1</v>
      </c>
      <c r="AE140">
        <v>1</v>
      </c>
      <c r="AF140" t="s">
        <v>223</v>
      </c>
      <c r="AG140">
        <v>5.9099999999999993</v>
      </c>
      <c r="AH140">
        <v>2</v>
      </c>
      <c r="AI140">
        <v>65171358</v>
      </c>
      <c r="AJ140">
        <v>145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ROW(Source!A122)</f>
        <v>122</v>
      </c>
      <c r="B141">
        <v>65171366</v>
      </c>
      <c r="C141">
        <v>65171357</v>
      </c>
      <c r="D141">
        <v>37064876</v>
      </c>
      <c r="E141">
        <v>108</v>
      </c>
      <c r="F141">
        <v>1</v>
      </c>
      <c r="G141">
        <v>1</v>
      </c>
      <c r="H141">
        <v>1</v>
      </c>
      <c r="I141" t="s">
        <v>510</v>
      </c>
      <c r="J141" t="s">
        <v>3</v>
      </c>
      <c r="K141" t="s">
        <v>511</v>
      </c>
      <c r="L141">
        <v>1191</v>
      </c>
      <c r="N141">
        <v>1013</v>
      </c>
      <c r="O141" t="s">
        <v>509</v>
      </c>
      <c r="P141" t="s">
        <v>509</v>
      </c>
      <c r="Q141">
        <v>1</v>
      </c>
      <c r="X141">
        <v>1.88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2</v>
      </c>
      <c r="AF141" t="s">
        <v>223</v>
      </c>
      <c r="AG141">
        <v>0.56399999999999995</v>
      </c>
      <c r="AH141">
        <v>2</v>
      </c>
      <c r="AI141">
        <v>65171359</v>
      </c>
      <c r="AJ141">
        <v>146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ROW(Source!A122)</f>
        <v>122</v>
      </c>
      <c r="B142">
        <v>65171367</v>
      </c>
      <c r="C142">
        <v>65171357</v>
      </c>
      <c r="D142">
        <v>56571417</v>
      </c>
      <c r="E142">
        <v>1</v>
      </c>
      <c r="F142">
        <v>1</v>
      </c>
      <c r="G142">
        <v>1</v>
      </c>
      <c r="H142">
        <v>2</v>
      </c>
      <c r="I142" t="s">
        <v>512</v>
      </c>
      <c r="J142" t="s">
        <v>513</v>
      </c>
      <c r="K142" t="s">
        <v>514</v>
      </c>
      <c r="L142">
        <v>1368</v>
      </c>
      <c r="N142">
        <v>1011</v>
      </c>
      <c r="O142" t="s">
        <v>515</v>
      </c>
      <c r="P142" t="s">
        <v>515</v>
      </c>
      <c r="Q142">
        <v>1</v>
      </c>
      <c r="X142">
        <v>0.9</v>
      </c>
      <c r="Y142">
        <v>0</v>
      </c>
      <c r="Z142">
        <v>1551.19</v>
      </c>
      <c r="AA142">
        <v>658.94</v>
      </c>
      <c r="AB142">
        <v>0</v>
      </c>
      <c r="AC142">
        <v>0</v>
      </c>
      <c r="AD142">
        <v>1</v>
      </c>
      <c r="AE142">
        <v>0</v>
      </c>
      <c r="AF142" t="s">
        <v>223</v>
      </c>
      <c r="AG142">
        <v>0.27</v>
      </c>
      <c r="AH142">
        <v>2</v>
      </c>
      <c r="AI142">
        <v>65171360</v>
      </c>
      <c r="AJ142">
        <v>147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ROW(Source!A122)</f>
        <v>122</v>
      </c>
      <c r="B143">
        <v>65171368</v>
      </c>
      <c r="C143">
        <v>65171357</v>
      </c>
      <c r="D143">
        <v>56572833</v>
      </c>
      <c r="E143">
        <v>1</v>
      </c>
      <c r="F143">
        <v>1</v>
      </c>
      <c r="G143">
        <v>1</v>
      </c>
      <c r="H143">
        <v>2</v>
      </c>
      <c r="I143" t="s">
        <v>520</v>
      </c>
      <c r="J143" t="s">
        <v>521</v>
      </c>
      <c r="K143" t="s">
        <v>522</v>
      </c>
      <c r="L143">
        <v>1368</v>
      </c>
      <c r="N143">
        <v>1011</v>
      </c>
      <c r="O143" t="s">
        <v>515</v>
      </c>
      <c r="P143" t="s">
        <v>515</v>
      </c>
      <c r="Q143">
        <v>1</v>
      </c>
      <c r="X143">
        <v>0.98</v>
      </c>
      <c r="Y143">
        <v>0</v>
      </c>
      <c r="Z143">
        <v>477.92</v>
      </c>
      <c r="AA143">
        <v>490.55</v>
      </c>
      <c r="AB143">
        <v>0</v>
      </c>
      <c r="AC143">
        <v>0</v>
      </c>
      <c r="AD143">
        <v>1</v>
      </c>
      <c r="AE143">
        <v>0</v>
      </c>
      <c r="AF143" t="s">
        <v>223</v>
      </c>
      <c r="AG143">
        <v>0.29399999999999998</v>
      </c>
      <c r="AH143">
        <v>2</v>
      </c>
      <c r="AI143">
        <v>65171361</v>
      </c>
      <c r="AJ143">
        <v>148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ROW(Source!A122)</f>
        <v>122</v>
      </c>
      <c r="B144">
        <v>65171369</v>
      </c>
      <c r="C144">
        <v>65171357</v>
      </c>
      <c r="D144">
        <v>56580636</v>
      </c>
      <c r="E144">
        <v>1</v>
      </c>
      <c r="F144">
        <v>1</v>
      </c>
      <c r="G144">
        <v>1</v>
      </c>
      <c r="H144">
        <v>3</v>
      </c>
      <c r="I144" t="s">
        <v>670</v>
      </c>
      <c r="J144" t="s">
        <v>671</v>
      </c>
      <c r="K144" t="s">
        <v>672</v>
      </c>
      <c r="L144">
        <v>1346</v>
      </c>
      <c r="N144">
        <v>1009</v>
      </c>
      <c r="O144" t="s">
        <v>549</v>
      </c>
      <c r="P144" t="s">
        <v>549</v>
      </c>
      <c r="Q144">
        <v>1</v>
      </c>
      <c r="X144">
        <v>7</v>
      </c>
      <c r="Y144">
        <v>176.2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97</v>
      </c>
      <c r="AG144">
        <v>0</v>
      </c>
      <c r="AH144">
        <v>2</v>
      </c>
      <c r="AI144">
        <v>65171362</v>
      </c>
      <c r="AJ144">
        <v>149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ROW(Source!A122)</f>
        <v>122</v>
      </c>
      <c r="B145">
        <v>65171370</v>
      </c>
      <c r="C145">
        <v>65171357</v>
      </c>
      <c r="D145">
        <v>56654621</v>
      </c>
      <c r="E145">
        <v>1</v>
      </c>
      <c r="F145">
        <v>1</v>
      </c>
      <c r="G145">
        <v>1</v>
      </c>
      <c r="H145">
        <v>3</v>
      </c>
      <c r="I145" t="s">
        <v>673</v>
      </c>
      <c r="J145" t="s">
        <v>674</v>
      </c>
      <c r="K145" t="s">
        <v>675</v>
      </c>
      <c r="L145">
        <v>1371</v>
      </c>
      <c r="N145">
        <v>1013</v>
      </c>
      <c r="O145" t="s">
        <v>220</v>
      </c>
      <c r="P145" t="s">
        <v>220</v>
      </c>
      <c r="Q145">
        <v>1</v>
      </c>
      <c r="X145">
        <v>10</v>
      </c>
      <c r="Y145">
        <v>705.5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97</v>
      </c>
      <c r="AG145">
        <v>0</v>
      </c>
      <c r="AH145">
        <v>2</v>
      </c>
      <c r="AI145">
        <v>65171363</v>
      </c>
      <c r="AJ145">
        <v>150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ROW(Source!A122)</f>
        <v>122</v>
      </c>
      <c r="B146">
        <v>65171371</v>
      </c>
      <c r="C146">
        <v>65171357</v>
      </c>
      <c r="D146">
        <v>56223463</v>
      </c>
      <c r="E146">
        <v>108</v>
      </c>
      <c r="F146">
        <v>1</v>
      </c>
      <c r="G146">
        <v>1</v>
      </c>
      <c r="H146">
        <v>3</v>
      </c>
      <c r="I146" t="s">
        <v>667</v>
      </c>
      <c r="J146" t="s">
        <v>3</v>
      </c>
      <c r="K146" t="s">
        <v>668</v>
      </c>
      <c r="L146">
        <v>3277935</v>
      </c>
      <c r="N146">
        <v>1013</v>
      </c>
      <c r="O146" t="s">
        <v>669</v>
      </c>
      <c r="P146" t="s">
        <v>669</v>
      </c>
      <c r="Q146">
        <v>1</v>
      </c>
      <c r="X146">
        <v>2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 t="s">
        <v>97</v>
      </c>
      <c r="AG146">
        <v>0</v>
      </c>
      <c r="AH146">
        <v>2</v>
      </c>
      <c r="AI146">
        <v>65171364</v>
      </c>
      <c r="AJ146">
        <v>151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ROW(Source!A123)</f>
        <v>123</v>
      </c>
      <c r="B147">
        <v>65171388</v>
      </c>
      <c r="C147">
        <v>65171372</v>
      </c>
      <c r="D147">
        <v>37075528</v>
      </c>
      <c r="E147">
        <v>108</v>
      </c>
      <c r="F147">
        <v>1</v>
      </c>
      <c r="G147">
        <v>1</v>
      </c>
      <c r="H147">
        <v>1</v>
      </c>
      <c r="I147" t="s">
        <v>676</v>
      </c>
      <c r="J147" t="s">
        <v>3</v>
      </c>
      <c r="K147" t="s">
        <v>677</v>
      </c>
      <c r="L147">
        <v>1191</v>
      </c>
      <c r="N147">
        <v>1013</v>
      </c>
      <c r="O147" t="s">
        <v>509</v>
      </c>
      <c r="P147" t="s">
        <v>509</v>
      </c>
      <c r="Q147">
        <v>1</v>
      </c>
      <c r="X147">
        <v>7.42</v>
      </c>
      <c r="Y147">
        <v>0</v>
      </c>
      <c r="Z147">
        <v>0</v>
      </c>
      <c r="AA147">
        <v>0</v>
      </c>
      <c r="AB147">
        <v>512.51</v>
      </c>
      <c r="AC147">
        <v>0</v>
      </c>
      <c r="AD147">
        <v>1</v>
      </c>
      <c r="AE147">
        <v>1</v>
      </c>
      <c r="AF147" t="s">
        <v>223</v>
      </c>
      <c r="AG147">
        <v>2.226</v>
      </c>
      <c r="AH147">
        <v>2</v>
      </c>
      <c r="AI147">
        <v>65171373</v>
      </c>
      <c r="AJ147">
        <v>152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ROW(Source!A123)</f>
        <v>123</v>
      </c>
      <c r="B148">
        <v>65171389</v>
      </c>
      <c r="C148">
        <v>65171372</v>
      </c>
      <c r="D148">
        <v>37064876</v>
      </c>
      <c r="E148">
        <v>108</v>
      </c>
      <c r="F148">
        <v>1</v>
      </c>
      <c r="G148">
        <v>1</v>
      </c>
      <c r="H148">
        <v>1</v>
      </c>
      <c r="I148" t="s">
        <v>510</v>
      </c>
      <c r="J148" t="s">
        <v>3</v>
      </c>
      <c r="K148" t="s">
        <v>511</v>
      </c>
      <c r="L148">
        <v>1191</v>
      </c>
      <c r="N148">
        <v>1013</v>
      </c>
      <c r="O148" t="s">
        <v>509</v>
      </c>
      <c r="P148" t="s">
        <v>509</v>
      </c>
      <c r="Q148">
        <v>1</v>
      </c>
      <c r="X148">
        <v>1.02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2</v>
      </c>
      <c r="AF148" t="s">
        <v>223</v>
      </c>
      <c r="AG148">
        <v>0.30599999999999999</v>
      </c>
      <c r="AH148">
        <v>2</v>
      </c>
      <c r="AI148">
        <v>65171374</v>
      </c>
      <c r="AJ148">
        <v>153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ROW(Source!A123)</f>
        <v>123</v>
      </c>
      <c r="B149">
        <v>65171390</v>
      </c>
      <c r="C149">
        <v>65171372</v>
      </c>
      <c r="D149">
        <v>56571417</v>
      </c>
      <c r="E149">
        <v>1</v>
      </c>
      <c r="F149">
        <v>1</v>
      </c>
      <c r="G149">
        <v>1</v>
      </c>
      <c r="H149">
        <v>2</v>
      </c>
      <c r="I149" t="s">
        <v>512</v>
      </c>
      <c r="J149" t="s">
        <v>513</v>
      </c>
      <c r="K149" t="s">
        <v>514</v>
      </c>
      <c r="L149">
        <v>1368</v>
      </c>
      <c r="N149">
        <v>1011</v>
      </c>
      <c r="O149" t="s">
        <v>515</v>
      </c>
      <c r="P149" t="s">
        <v>515</v>
      </c>
      <c r="Q149">
        <v>1</v>
      </c>
      <c r="X149">
        <v>0.61</v>
      </c>
      <c r="Y149">
        <v>0</v>
      </c>
      <c r="Z149">
        <v>1551.19</v>
      </c>
      <c r="AA149">
        <v>658.94</v>
      </c>
      <c r="AB149">
        <v>0</v>
      </c>
      <c r="AC149">
        <v>0</v>
      </c>
      <c r="AD149">
        <v>1</v>
      </c>
      <c r="AE149">
        <v>0</v>
      </c>
      <c r="AF149" t="s">
        <v>223</v>
      </c>
      <c r="AG149">
        <v>0.183</v>
      </c>
      <c r="AH149">
        <v>2</v>
      </c>
      <c r="AI149">
        <v>65171375</v>
      </c>
      <c r="AJ149">
        <v>154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ROW(Source!A123)</f>
        <v>123</v>
      </c>
      <c r="B150">
        <v>65171391</v>
      </c>
      <c r="C150">
        <v>65171372</v>
      </c>
      <c r="D150">
        <v>56572833</v>
      </c>
      <c r="E150">
        <v>1</v>
      </c>
      <c r="F150">
        <v>1</v>
      </c>
      <c r="G150">
        <v>1</v>
      </c>
      <c r="H150">
        <v>2</v>
      </c>
      <c r="I150" t="s">
        <v>520</v>
      </c>
      <c r="J150" t="s">
        <v>521</v>
      </c>
      <c r="K150" t="s">
        <v>522</v>
      </c>
      <c r="L150">
        <v>1368</v>
      </c>
      <c r="N150">
        <v>1011</v>
      </c>
      <c r="O150" t="s">
        <v>515</v>
      </c>
      <c r="P150" t="s">
        <v>515</v>
      </c>
      <c r="Q150">
        <v>1</v>
      </c>
      <c r="X150">
        <v>0.41</v>
      </c>
      <c r="Y150">
        <v>0</v>
      </c>
      <c r="Z150">
        <v>477.92</v>
      </c>
      <c r="AA150">
        <v>490.55</v>
      </c>
      <c r="AB150">
        <v>0</v>
      </c>
      <c r="AC150">
        <v>0</v>
      </c>
      <c r="AD150">
        <v>1</v>
      </c>
      <c r="AE150">
        <v>0</v>
      </c>
      <c r="AF150" t="s">
        <v>223</v>
      </c>
      <c r="AG150">
        <v>0.12299999999999998</v>
      </c>
      <c r="AH150">
        <v>2</v>
      </c>
      <c r="AI150">
        <v>65171376</v>
      </c>
      <c r="AJ150">
        <v>155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ROW(Source!A123)</f>
        <v>123</v>
      </c>
      <c r="B151">
        <v>65171392</v>
      </c>
      <c r="C151">
        <v>65171372</v>
      </c>
      <c r="D151">
        <v>56574842</v>
      </c>
      <c r="E151">
        <v>1</v>
      </c>
      <c r="F151">
        <v>1</v>
      </c>
      <c r="G151">
        <v>1</v>
      </c>
      <c r="H151">
        <v>3</v>
      </c>
      <c r="I151" t="s">
        <v>678</v>
      </c>
      <c r="J151" t="s">
        <v>679</v>
      </c>
      <c r="K151" t="s">
        <v>680</v>
      </c>
      <c r="L151">
        <v>1346</v>
      </c>
      <c r="N151">
        <v>1009</v>
      </c>
      <c r="O151" t="s">
        <v>549</v>
      </c>
      <c r="P151" t="s">
        <v>549</v>
      </c>
      <c r="Q151">
        <v>1</v>
      </c>
      <c r="X151">
        <v>0.01</v>
      </c>
      <c r="Y151">
        <v>238.29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97</v>
      </c>
      <c r="AG151">
        <v>0</v>
      </c>
      <c r="AH151">
        <v>2</v>
      </c>
      <c r="AI151">
        <v>65171377</v>
      </c>
      <c r="AJ151">
        <v>156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ROW(Source!A123)</f>
        <v>123</v>
      </c>
      <c r="B152">
        <v>65171393</v>
      </c>
      <c r="C152">
        <v>65171372</v>
      </c>
      <c r="D152">
        <v>56574852</v>
      </c>
      <c r="E152">
        <v>1</v>
      </c>
      <c r="F152">
        <v>1</v>
      </c>
      <c r="G152">
        <v>1</v>
      </c>
      <c r="H152">
        <v>3</v>
      </c>
      <c r="I152" t="s">
        <v>681</v>
      </c>
      <c r="J152" t="s">
        <v>682</v>
      </c>
      <c r="K152" t="s">
        <v>683</v>
      </c>
      <c r="L152">
        <v>1346</v>
      </c>
      <c r="N152">
        <v>1009</v>
      </c>
      <c r="O152" t="s">
        <v>549</v>
      </c>
      <c r="P152" t="s">
        <v>549</v>
      </c>
      <c r="Q152">
        <v>1</v>
      </c>
      <c r="X152">
        <v>0.03</v>
      </c>
      <c r="Y152">
        <v>80.02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97</v>
      </c>
      <c r="AG152">
        <v>0</v>
      </c>
      <c r="AH152">
        <v>2</v>
      </c>
      <c r="AI152">
        <v>65171378</v>
      </c>
      <c r="AJ152">
        <v>157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ROW(Source!A123)</f>
        <v>123</v>
      </c>
      <c r="B153">
        <v>65171394</v>
      </c>
      <c r="C153">
        <v>65171372</v>
      </c>
      <c r="D153">
        <v>56580368</v>
      </c>
      <c r="E153">
        <v>1</v>
      </c>
      <c r="F153">
        <v>1</v>
      </c>
      <c r="G153">
        <v>1</v>
      </c>
      <c r="H153">
        <v>3</v>
      </c>
      <c r="I153" t="s">
        <v>553</v>
      </c>
      <c r="J153" t="s">
        <v>554</v>
      </c>
      <c r="K153" t="s">
        <v>555</v>
      </c>
      <c r="L153">
        <v>1346</v>
      </c>
      <c r="N153">
        <v>1009</v>
      </c>
      <c r="O153" t="s">
        <v>549</v>
      </c>
      <c r="P153" t="s">
        <v>549</v>
      </c>
      <c r="Q153">
        <v>1</v>
      </c>
      <c r="X153">
        <v>0</v>
      </c>
      <c r="Y153">
        <v>174.93</v>
      </c>
      <c r="Z153">
        <v>0</v>
      </c>
      <c r="AA153">
        <v>0</v>
      </c>
      <c r="AB153">
        <v>0</v>
      </c>
      <c r="AC153">
        <v>1</v>
      </c>
      <c r="AD153">
        <v>0</v>
      </c>
      <c r="AE153">
        <v>0</v>
      </c>
      <c r="AF153" t="s">
        <v>97</v>
      </c>
      <c r="AG153">
        <v>0</v>
      </c>
      <c r="AH153">
        <v>2</v>
      </c>
      <c r="AI153">
        <v>65171379</v>
      </c>
      <c r="AJ153">
        <v>158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ROW(Source!A123)</f>
        <v>123</v>
      </c>
      <c r="B154">
        <v>65171395</v>
      </c>
      <c r="C154">
        <v>65171372</v>
      </c>
      <c r="D154">
        <v>56582407</v>
      </c>
      <c r="E154">
        <v>1</v>
      </c>
      <c r="F154">
        <v>1</v>
      </c>
      <c r="G154">
        <v>1</v>
      </c>
      <c r="H154">
        <v>3</v>
      </c>
      <c r="I154" t="s">
        <v>625</v>
      </c>
      <c r="J154" t="s">
        <v>626</v>
      </c>
      <c r="K154" t="s">
        <v>627</v>
      </c>
      <c r="L154">
        <v>1346</v>
      </c>
      <c r="N154">
        <v>1009</v>
      </c>
      <c r="O154" t="s">
        <v>549</v>
      </c>
      <c r="P154" t="s">
        <v>549</v>
      </c>
      <c r="Q154">
        <v>1</v>
      </c>
      <c r="X154">
        <v>0.02</v>
      </c>
      <c r="Y154">
        <v>56.11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97</v>
      </c>
      <c r="AG154">
        <v>0</v>
      </c>
      <c r="AH154">
        <v>2</v>
      </c>
      <c r="AI154">
        <v>65171380</v>
      </c>
      <c r="AJ154">
        <v>159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ROW(Source!A123)</f>
        <v>123</v>
      </c>
      <c r="B155">
        <v>65171396</v>
      </c>
      <c r="C155">
        <v>65171372</v>
      </c>
      <c r="D155">
        <v>56219777</v>
      </c>
      <c r="E155">
        <v>108</v>
      </c>
      <c r="F155">
        <v>1</v>
      </c>
      <c r="G155">
        <v>1</v>
      </c>
      <c r="H155">
        <v>3</v>
      </c>
      <c r="I155" t="s">
        <v>684</v>
      </c>
      <c r="J155" t="s">
        <v>3</v>
      </c>
      <c r="K155" t="s">
        <v>685</v>
      </c>
      <c r="L155">
        <v>1346</v>
      </c>
      <c r="N155">
        <v>1009</v>
      </c>
      <c r="O155" t="s">
        <v>549</v>
      </c>
      <c r="P155" t="s">
        <v>549</v>
      </c>
      <c r="Q155">
        <v>1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1</v>
      </c>
      <c r="AD155">
        <v>0</v>
      </c>
      <c r="AE155">
        <v>0</v>
      </c>
      <c r="AF155" t="s">
        <v>97</v>
      </c>
      <c r="AG155">
        <v>0</v>
      </c>
      <c r="AH155">
        <v>2</v>
      </c>
      <c r="AI155">
        <v>65171381</v>
      </c>
      <c r="AJ155">
        <v>160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ROW(Source!A123)</f>
        <v>123</v>
      </c>
      <c r="B156">
        <v>65171397</v>
      </c>
      <c r="C156">
        <v>65171372</v>
      </c>
      <c r="D156">
        <v>56220120</v>
      </c>
      <c r="E156">
        <v>108</v>
      </c>
      <c r="F156">
        <v>1</v>
      </c>
      <c r="G156">
        <v>1</v>
      </c>
      <c r="H156">
        <v>3</v>
      </c>
      <c r="I156" t="s">
        <v>686</v>
      </c>
      <c r="J156" t="s">
        <v>3</v>
      </c>
      <c r="K156" t="s">
        <v>687</v>
      </c>
      <c r="L156">
        <v>1348</v>
      </c>
      <c r="N156">
        <v>1009</v>
      </c>
      <c r="O156" t="s">
        <v>94</v>
      </c>
      <c r="P156" t="s">
        <v>94</v>
      </c>
      <c r="Q156">
        <v>1000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1</v>
      </c>
      <c r="AD156">
        <v>0</v>
      </c>
      <c r="AE156">
        <v>0</v>
      </c>
      <c r="AF156" t="s">
        <v>97</v>
      </c>
      <c r="AG156">
        <v>0</v>
      </c>
      <c r="AH156">
        <v>2</v>
      </c>
      <c r="AI156">
        <v>65171382</v>
      </c>
      <c r="AJ156">
        <v>161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ROW(Source!A123)</f>
        <v>123</v>
      </c>
      <c r="B157">
        <v>65171398</v>
      </c>
      <c r="C157">
        <v>65171372</v>
      </c>
      <c r="D157">
        <v>56610133</v>
      </c>
      <c r="E157">
        <v>1</v>
      </c>
      <c r="F157">
        <v>1</v>
      </c>
      <c r="G157">
        <v>1</v>
      </c>
      <c r="H157">
        <v>3</v>
      </c>
      <c r="I157" t="s">
        <v>688</v>
      </c>
      <c r="J157" t="s">
        <v>689</v>
      </c>
      <c r="K157" t="s">
        <v>690</v>
      </c>
      <c r="L157">
        <v>1348</v>
      </c>
      <c r="N157">
        <v>1009</v>
      </c>
      <c r="O157" t="s">
        <v>94</v>
      </c>
      <c r="P157" t="s">
        <v>94</v>
      </c>
      <c r="Q157">
        <v>1000</v>
      </c>
      <c r="X157">
        <v>1E-4</v>
      </c>
      <c r="Y157">
        <v>80020.98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97</v>
      </c>
      <c r="AG157">
        <v>0</v>
      </c>
      <c r="AH157">
        <v>2</v>
      </c>
      <c r="AI157">
        <v>65171383</v>
      </c>
      <c r="AJ157">
        <v>162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ROW(Source!A123)</f>
        <v>123</v>
      </c>
      <c r="B158">
        <v>65171399</v>
      </c>
      <c r="C158">
        <v>65171372</v>
      </c>
      <c r="D158">
        <v>56610726</v>
      </c>
      <c r="E158">
        <v>1</v>
      </c>
      <c r="F158">
        <v>1</v>
      </c>
      <c r="G158">
        <v>1</v>
      </c>
      <c r="H158">
        <v>3</v>
      </c>
      <c r="I158" t="s">
        <v>628</v>
      </c>
      <c r="J158" t="s">
        <v>629</v>
      </c>
      <c r="K158" t="s">
        <v>630</v>
      </c>
      <c r="L158">
        <v>1346</v>
      </c>
      <c r="N158">
        <v>1009</v>
      </c>
      <c r="O158" t="s">
        <v>549</v>
      </c>
      <c r="P158" t="s">
        <v>549</v>
      </c>
      <c r="Q158">
        <v>1</v>
      </c>
      <c r="X158">
        <v>0.12</v>
      </c>
      <c r="Y158">
        <v>60.6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97</v>
      </c>
      <c r="AG158">
        <v>0</v>
      </c>
      <c r="AH158">
        <v>2</v>
      </c>
      <c r="AI158">
        <v>65171384</v>
      </c>
      <c r="AJ158">
        <v>163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ROW(Source!A123)</f>
        <v>123</v>
      </c>
      <c r="B159">
        <v>65171400</v>
      </c>
      <c r="C159">
        <v>65171372</v>
      </c>
      <c r="D159">
        <v>56222425</v>
      </c>
      <c r="E159">
        <v>108</v>
      </c>
      <c r="F159">
        <v>1</v>
      </c>
      <c r="G159">
        <v>1</v>
      </c>
      <c r="H159">
        <v>3</v>
      </c>
      <c r="I159" t="s">
        <v>691</v>
      </c>
      <c r="J159" t="s">
        <v>3</v>
      </c>
      <c r="K159" t="s">
        <v>692</v>
      </c>
      <c r="L159">
        <v>1348</v>
      </c>
      <c r="N159">
        <v>1009</v>
      </c>
      <c r="O159" t="s">
        <v>94</v>
      </c>
      <c r="P159" t="s">
        <v>94</v>
      </c>
      <c r="Q159">
        <v>1000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1</v>
      </c>
      <c r="AD159">
        <v>0</v>
      </c>
      <c r="AE159">
        <v>0</v>
      </c>
      <c r="AF159" t="s">
        <v>97</v>
      </c>
      <c r="AG159">
        <v>0</v>
      </c>
      <c r="AH159">
        <v>2</v>
      </c>
      <c r="AI159">
        <v>65171385</v>
      </c>
      <c r="AJ159">
        <v>164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ROW(Source!A123)</f>
        <v>123</v>
      </c>
      <c r="B160">
        <v>65171401</v>
      </c>
      <c r="C160">
        <v>65171372</v>
      </c>
      <c r="D160">
        <v>56222457</v>
      </c>
      <c r="E160">
        <v>108</v>
      </c>
      <c r="F160">
        <v>1</v>
      </c>
      <c r="G160">
        <v>1</v>
      </c>
      <c r="H160">
        <v>3</v>
      </c>
      <c r="I160" t="s">
        <v>693</v>
      </c>
      <c r="J160" t="s">
        <v>3</v>
      </c>
      <c r="K160" t="s">
        <v>694</v>
      </c>
      <c r="L160">
        <v>1371</v>
      </c>
      <c r="N160">
        <v>1013</v>
      </c>
      <c r="O160" t="s">
        <v>220</v>
      </c>
      <c r="P160" t="s">
        <v>220</v>
      </c>
      <c r="Q160">
        <v>1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1</v>
      </c>
      <c r="AD160">
        <v>0</v>
      </c>
      <c r="AE160">
        <v>0</v>
      </c>
      <c r="AF160" t="s">
        <v>97</v>
      </c>
      <c r="AG160">
        <v>0</v>
      </c>
      <c r="AH160">
        <v>2</v>
      </c>
      <c r="AI160">
        <v>65171386</v>
      </c>
      <c r="AJ160">
        <v>165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ROW(Source!A123)</f>
        <v>123</v>
      </c>
      <c r="B161">
        <v>65171402</v>
      </c>
      <c r="C161">
        <v>65171372</v>
      </c>
      <c r="D161">
        <v>56222466</v>
      </c>
      <c r="E161">
        <v>108</v>
      </c>
      <c r="F161">
        <v>1</v>
      </c>
      <c r="G161">
        <v>1</v>
      </c>
      <c r="H161">
        <v>3</v>
      </c>
      <c r="I161" t="s">
        <v>695</v>
      </c>
      <c r="J161" t="s">
        <v>3</v>
      </c>
      <c r="K161" t="s">
        <v>696</v>
      </c>
      <c r="L161">
        <v>1346</v>
      </c>
      <c r="N161">
        <v>1009</v>
      </c>
      <c r="O161" t="s">
        <v>549</v>
      </c>
      <c r="P161" t="s">
        <v>549</v>
      </c>
      <c r="Q161">
        <v>1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1</v>
      </c>
      <c r="AD161">
        <v>0</v>
      </c>
      <c r="AE161">
        <v>0</v>
      </c>
      <c r="AF161" t="s">
        <v>97</v>
      </c>
      <c r="AG161">
        <v>0</v>
      </c>
      <c r="AH161">
        <v>2</v>
      </c>
      <c r="AI161">
        <v>65171387</v>
      </c>
      <c r="AJ161">
        <v>166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ROW(Source!A124)</f>
        <v>124</v>
      </c>
      <c r="B162">
        <v>65171450</v>
      </c>
      <c r="C162">
        <v>65171439</v>
      </c>
      <c r="D162">
        <v>56217408</v>
      </c>
      <c r="E162">
        <v>108</v>
      </c>
      <c r="F162">
        <v>1</v>
      </c>
      <c r="G162">
        <v>1</v>
      </c>
      <c r="H162">
        <v>1</v>
      </c>
      <c r="I162" t="s">
        <v>697</v>
      </c>
      <c r="J162" t="s">
        <v>3</v>
      </c>
      <c r="K162" t="s">
        <v>698</v>
      </c>
      <c r="L162">
        <v>1369</v>
      </c>
      <c r="N162">
        <v>1013</v>
      </c>
      <c r="O162" t="s">
        <v>699</v>
      </c>
      <c r="P162" t="s">
        <v>699</v>
      </c>
      <c r="Q162">
        <v>1</v>
      </c>
      <c r="X162">
        <v>0.91</v>
      </c>
      <c r="Y162">
        <v>0</v>
      </c>
      <c r="Z162">
        <v>0</v>
      </c>
      <c r="AA162">
        <v>0</v>
      </c>
      <c r="AB162">
        <v>399.03</v>
      </c>
      <c r="AC162">
        <v>0</v>
      </c>
      <c r="AD162">
        <v>1</v>
      </c>
      <c r="AE162">
        <v>1</v>
      </c>
      <c r="AF162" t="s">
        <v>223</v>
      </c>
      <c r="AG162">
        <v>0.27300000000000002</v>
      </c>
      <c r="AH162">
        <v>2</v>
      </c>
      <c r="AI162">
        <v>65171440</v>
      </c>
      <c r="AJ162">
        <v>167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ROW(Source!A124)</f>
        <v>124</v>
      </c>
      <c r="B163">
        <v>65171451</v>
      </c>
      <c r="C163">
        <v>65171439</v>
      </c>
      <c r="D163">
        <v>56217411</v>
      </c>
      <c r="E163">
        <v>108</v>
      </c>
      <c r="F163">
        <v>1</v>
      </c>
      <c r="G163">
        <v>1</v>
      </c>
      <c r="H163">
        <v>1</v>
      </c>
      <c r="I163" t="s">
        <v>700</v>
      </c>
      <c r="J163" t="s">
        <v>3</v>
      </c>
      <c r="K163" t="s">
        <v>701</v>
      </c>
      <c r="L163">
        <v>1369</v>
      </c>
      <c r="N163">
        <v>1013</v>
      </c>
      <c r="O163" t="s">
        <v>699</v>
      </c>
      <c r="P163" t="s">
        <v>699</v>
      </c>
      <c r="Q163">
        <v>1</v>
      </c>
      <c r="X163">
        <v>38.89</v>
      </c>
      <c r="Y163">
        <v>0</v>
      </c>
      <c r="Z163">
        <v>0</v>
      </c>
      <c r="AA163">
        <v>0</v>
      </c>
      <c r="AB163">
        <v>435.64</v>
      </c>
      <c r="AC163">
        <v>0</v>
      </c>
      <c r="AD163">
        <v>1</v>
      </c>
      <c r="AE163">
        <v>1</v>
      </c>
      <c r="AF163" t="s">
        <v>223</v>
      </c>
      <c r="AG163">
        <v>11.667</v>
      </c>
      <c r="AH163">
        <v>2</v>
      </c>
      <c r="AI163">
        <v>65171441</v>
      </c>
      <c r="AJ163">
        <v>168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ROW(Source!A124)</f>
        <v>124</v>
      </c>
      <c r="B164">
        <v>65171452</v>
      </c>
      <c r="C164">
        <v>65171439</v>
      </c>
      <c r="D164">
        <v>56217415</v>
      </c>
      <c r="E164">
        <v>108</v>
      </c>
      <c r="F164">
        <v>1</v>
      </c>
      <c r="G164">
        <v>1</v>
      </c>
      <c r="H164">
        <v>1</v>
      </c>
      <c r="I164" t="s">
        <v>702</v>
      </c>
      <c r="J164" t="s">
        <v>3</v>
      </c>
      <c r="K164" t="s">
        <v>703</v>
      </c>
      <c r="L164">
        <v>1369</v>
      </c>
      <c r="N164">
        <v>1013</v>
      </c>
      <c r="O164" t="s">
        <v>699</v>
      </c>
      <c r="P164" t="s">
        <v>699</v>
      </c>
      <c r="Q164">
        <v>1</v>
      </c>
      <c r="X164">
        <v>19.239999999999998</v>
      </c>
      <c r="Y164">
        <v>0</v>
      </c>
      <c r="Z164">
        <v>0</v>
      </c>
      <c r="AA164">
        <v>0</v>
      </c>
      <c r="AB164">
        <v>490.55</v>
      </c>
      <c r="AC164">
        <v>0</v>
      </c>
      <c r="AD164">
        <v>1</v>
      </c>
      <c r="AE164">
        <v>1</v>
      </c>
      <c r="AF164" t="s">
        <v>223</v>
      </c>
      <c r="AG164">
        <v>5.7719999999999994</v>
      </c>
      <c r="AH164">
        <v>2</v>
      </c>
      <c r="AI164">
        <v>65171442</v>
      </c>
      <c r="AJ164">
        <v>169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ROW(Source!A124)</f>
        <v>124</v>
      </c>
      <c r="B165">
        <v>65171453</v>
      </c>
      <c r="C165">
        <v>65171439</v>
      </c>
      <c r="D165">
        <v>56217418</v>
      </c>
      <c r="E165">
        <v>108</v>
      </c>
      <c r="F165">
        <v>1</v>
      </c>
      <c r="G165">
        <v>1</v>
      </c>
      <c r="H165">
        <v>1</v>
      </c>
      <c r="I165" t="s">
        <v>704</v>
      </c>
      <c r="J165" t="s">
        <v>3</v>
      </c>
      <c r="K165" t="s">
        <v>705</v>
      </c>
      <c r="L165">
        <v>1369</v>
      </c>
      <c r="N165">
        <v>1013</v>
      </c>
      <c r="O165" t="s">
        <v>699</v>
      </c>
      <c r="P165" t="s">
        <v>699</v>
      </c>
      <c r="Q165">
        <v>1</v>
      </c>
      <c r="X165">
        <v>19.239999999999998</v>
      </c>
      <c r="Y165">
        <v>0</v>
      </c>
      <c r="Z165">
        <v>0</v>
      </c>
      <c r="AA165">
        <v>0</v>
      </c>
      <c r="AB165">
        <v>563.76</v>
      </c>
      <c r="AC165">
        <v>0</v>
      </c>
      <c r="AD165">
        <v>1</v>
      </c>
      <c r="AE165">
        <v>1</v>
      </c>
      <c r="AF165" t="s">
        <v>223</v>
      </c>
      <c r="AG165">
        <v>5.7719999999999994</v>
      </c>
      <c r="AH165">
        <v>2</v>
      </c>
      <c r="AI165">
        <v>65171443</v>
      </c>
      <c r="AJ165">
        <v>170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ROW(Source!A124)</f>
        <v>124</v>
      </c>
      <c r="B166">
        <v>65171454</v>
      </c>
      <c r="C166">
        <v>65171439</v>
      </c>
      <c r="D166">
        <v>37064876</v>
      </c>
      <c r="E166">
        <v>108</v>
      </c>
      <c r="F166">
        <v>1</v>
      </c>
      <c r="G166">
        <v>1</v>
      </c>
      <c r="H166">
        <v>1</v>
      </c>
      <c r="I166" t="s">
        <v>510</v>
      </c>
      <c r="J166" t="s">
        <v>3</v>
      </c>
      <c r="K166" t="s">
        <v>511</v>
      </c>
      <c r="L166">
        <v>1191</v>
      </c>
      <c r="N166">
        <v>1013</v>
      </c>
      <c r="O166" t="s">
        <v>509</v>
      </c>
      <c r="P166" t="s">
        <v>509</v>
      </c>
      <c r="Q166">
        <v>1</v>
      </c>
      <c r="X166">
        <v>22.24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2</v>
      </c>
      <c r="AF166" t="s">
        <v>223</v>
      </c>
      <c r="AG166">
        <v>6.6719999999999997</v>
      </c>
      <c r="AH166">
        <v>2</v>
      </c>
      <c r="AI166">
        <v>65171444</v>
      </c>
      <c r="AJ166">
        <v>171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ROW(Source!A124)</f>
        <v>124</v>
      </c>
      <c r="B167">
        <v>65171455</v>
      </c>
      <c r="C167">
        <v>65171439</v>
      </c>
      <c r="D167">
        <v>56571417</v>
      </c>
      <c r="E167">
        <v>1</v>
      </c>
      <c r="F167">
        <v>1</v>
      </c>
      <c r="G167">
        <v>1</v>
      </c>
      <c r="H167">
        <v>2</v>
      </c>
      <c r="I167" t="s">
        <v>512</v>
      </c>
      <c r="J167" t="s">
        <v>513</v>
      </c>
      <c r="K167" t="s">
        <v>514</v>
      </c>
      <c r="L167">
        <v>1368</v>
      </c>
      <c r="N167">
        <v>1011</v>
      </c>
      <c r="O167" t="s">
        <v>515</v>
      </c>
      <c r="P167" t="s">
        <v>515</v>
      </c>
      <c r="Q167">
        <v>1</v>
      </c>
      <c r="X167">
        <v>0.64</v>
      </c>
      <c r="Y167">
        <v>0</v>
      </c>
      <c r="Z167">
        <v>1551.19</v>
      </c>
      <c r="AA167">
        <v>658.94</v>
      </c>
      <c r="AB167">
        <v>0</v>
      </c>
      <c r="AC167">
        <v>0</v>
      </c>
      <c r="AD167">
        <v>1</v>
      </c>
      <c r="AE167">
        <v>0</v>
      </c>
      <c r="AF167" t="s">
        <v>223</v>
      </c>
      <c r="AG167">
        <v>0.192</v>
      </c>
      <c r="AH167">
        <v>2</v>
      </c>
      <c r="AI167">
        <v>65171445</v>
      </c>
      <c r="AJ167">
        <v>172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ROW(Source!A124)</f>
        <v>124</v>
      </c>
      <c r="B168">
        <v>65171456</v>
      </c>
      <c r="C168">
        <v>65171439</v>
      </c>
      <c r="D168">
        <v>56571637</v>
      </c>
      <c r="E168">
        <v>1</v>
      </c>
      <c r="F168">
        <v>1</v>
      </c>
      <c r="G168">
        <v>1</v>
      </c>
      <c r="H168">
        <v>2</v>
      </c>
      <c r="I168" t="s">
        <v>706</v>
      </c>
      <c r="J168" t="s">
        <v>707</v>
      </c>
      <c r="K168" t="s">
        <v>708</v>
      </c>
      <c r="L168">
        <v>1368</v>
      </c>
      <c r="N168">
        <v>1011</v>
      </c>
      <c r="O168" t="s">
        <v>515</v>
      </c>
      <c r="P168" t="s">
        <v>515</v>
      </c>
      <c r="Q168">
        <v>1</v>
      </c>
      <c r="X168">
        <v>2.4</v>
      </c>
      <c r="Y168">
        <v>0</v>
      </c>
      <c r="Z168">
        <v>15.12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223</v>
      </c>
      <c r="AG168">
        <v>0.72</v>
      </c>
      <c r="AH168">
        <v>2</v>
      </c>
      <c r="AI168">
        <v>65171446</v>
      </c>
      <c r="AJ168">
        <v>173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ROW(Source!A124)</f>
        <v>124</v>
      </c>
      <c r="B169">
        <v>65171457</v>
      </c>
      <c r="C169">
        <v>65171439</v>
      </c>
      <c r="D169">
        <v>56571702</v>
      </c>
      <c r="E169">
        <v>1</v>
      </c>
      <c r="F169">
        <v>1</v>
      </c>
      <c r="G169">
        <v>1</v>
      </c>
      <c r="H169">
        <v>2</v>
      </c>
      <c r="I169" t="s">
        <v>709</v>
      </c>
      <c r="J169" t="s">
        <v>710</v>
      </c>
      <c r="K169" t="s">
        <v>711</v>
      </c>
      <c r="L169">
        <v>1368</v>
      </c>
      <c r="N169">
        <v>1011</v>
      </c>
      <c r="O169" t="s">
        <v>515</v>
      </c>
      <c r="P169" t="s">
        <v>515</v>
      </c>
      <c r="Q169">
        <v>1</v>
      </c>
      <c r="X169">
        <v>18.68</v>
      </c>
      <c r="Y169">
        <v>0</v>
      </c>
      <c r="Z169">
        <v>346.73</v>
      </c>
      <c r="AA169">
        <v>490.55</v>
      </c>
      <c r="AB169">
        <v>0</v>
      </c>
      <c r="AC169">
        <v>0</v>
      </c>
      <c r="AD169">
        <v>1</v>
      </c>
      <c r="AE169">
        <v>0</v>
      </c>
      <c r="AF169" t="s">
        <v>223</v>
      </c>
      <c r="AG169">
        <v>5.6040000000000001</v>
      </c>
      <c r="AH169">
        <v>2</v>
      </c>
      <c r="AI169">
        <v>65171447</v>
      </c>
      <c r="AJ169">
        <v>174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ROW(Source!A124)</f>
        <v>124</v>
      </c>
      <c r="B170">
        <v>65171458</v>
      </c>
      <c r="C170">
        <v>65171439</v>
      </c>
      <c r="D170">
        <v>56572833</v>
      </c>
      <c r="E170">
        <v>1</v>
      </c>
      <c r="F170">
        <v>1</v>
      </c>
      <c r="G170">
        <v>1</v>
      </c>
      <c r="H170">
        <v>2</v>
      </c>
      <c r="I170" t="s">
        <v>520</v>
      </c>
      <c r="J170" t="s">
        <v>521</v>
      </c>
      <c r="K170" t="s">
        <v>522</v>
      </c>
      <c r="L170">
        <v>1368</v>
      </c>
      <c r="N170">
        <v>1011</v>
      </c>
      <c r="O170" t="s">
        <v>515</v>
      </c>
      <c r="P170" t="s">
        <v>515</v>
      </c>
      <c r="Q170">
        <v>1</v>
      </c>
      <c r="X170">
        <v>0.52</v>
      </c>
      <c r="Y170">
        <v>0</v>
      </c>
      <c r="Z170">
        <v>477.92</v>
      </c>
      <c r="AA170">
        <v>490.55</v>
      </c>
      <c r="AB170">
        <v>0</v>
      </c>
      <c r="AC170">
        <v>0</v>
      </c>
      <c r="AD170">
        <v>1</v>
      </c>
      <c r="AE170">
        <v>0</v>
      </c>
      <c r="AF170" t="s">
        <v>223</v>
      </c>
      <c r="AG170">
        <v>0.156</v>
      </c>
      <c r="AH170">
        <v>2</v>
      </c>
      <c r="AI170">
        <v>65171448</v>
      </c>
      <c r="AJ170">
        <v>175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ROW(Source!A124)</f>
        <v>124</v>
      </c>
      <c r="B171">
        <v>65171459</v>
      </c>
      <c r="C171">
        <v>65171439</v>
      </c>
      <c r="D171">
        <v>56573157</v>
      </c>
      <c r="E171">
        <v>1</v>
      </c>
      <c r="F171">
        <v>1</v>
      </c>
      <c r="G171">
        <v>1</v>
      </c>
      <c r="H171">
        <v>2</v>
      </c>
      <c r="I171" t="s">
        <v>712</v>
      </c>
      <c r="J171" t="s">
        <v>713</v>
      </c>
      <c r="K171" t="s">
        <v>714</v>
      </c>
      <c r="L171">
        <v>1368</v>
      </c>
      <c r="N171">
        <v>1011</v>
      </c>
      <c r="O171" t="s">
        <v>515</v>
      </c>
      <c r="P171" t="s">
        <v>515</v>
      </c>
      <c r="Q171">
        <v>1</v>
      </c>
      <c r="X171">
        <v>2.4</v>
      </c>
      <c r="Y171">
        <v>0</v>
      </c>
      <c r="Z171">
        <v>176.5</v>
      </c>
      <c r="AA171">
        <v>490.55</v>
      </c>
      <c r="AB171">
        <v>0</v>
      </c>
      <c r="AC171">
        <v>0</v>
      </c>
      <c r="AD171">
        <v>1</v>
      </c>
      <c r="AE171">
        <v>0</v>
      </c>
      <c r="AF171" t="s">
        <v>223</v>
      </c>
      <c r="AG171">
        <v>0.72</v>
      </c>
      <c r="AH171">
        <v>2</v>
      </c>
      <c r="AI171">
        <v>65171449</v>
      </c>
      <c r="AJ171">
        <v>176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ROW(Source!A124)</f>
        <v>124</v>
      </c>
      <c r="B172">
        <v>65171460</v>
      </c>
      <c r="C172">
        <v>65171439</v>
      </c>
      <c r="D172">
        <v>56222244</v>
      </c>
      <c r="E172">
        <v>108</v>
      </c>
      <c r="F172">
        <v>1</v>
      </c>
      <c r="G172">
        <v>1</v>
      </c>
      <c r="H172">
        <v>3</v>
      </c>
      <c r="I172" t="s">
        <v>767</v>
      </c>
      <c r="J172" t="s">
        <v>3</v>
      </c>
      <c r="K172" t="s">
        <v>768</v>
      </c>
      <c r="L172">
        <v>1371</v>
      </c>
      <c r="N172">
        <v>1013</v>
      </c>
      <c r="O172" t="s">
        <v>220</v>
      </c>
      <c r="P172" t="s">
        <v>220</v>
      </c>
      <c r="Q172">
        <v>1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1</v>
      </c>
      <c r="AD172">
        <v>0</v>
      </c>
      <c r="AE172">
        <v>0</v>
      </c>
      <c r="AF172" t="s">
        <v>97</v>
      </c>
      <c r="AG172">
        <v>0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ROW(Source!A124)</f>
        <v>124</v>
      </c>
      <c r="B173">
        <v>65171461</v>
      </c>
      <c r="C173">
        <v>65171439</v>
      </c>
      <c r="D173">
        <v>56222257</v>
      </c>
      <c r="E173">
        <v>108</v>
      </c>
      <c r="F173">
        <v>1</v>
      </c>
      <c r="G173">
        <v>1</v>
      </c>
      <c r="H173">
        <v>3</v>
      </c>
      <c r="I173" t="s">
        <v>769</v>
      </c>
      <c r="J173" t="s">
        <v>3</v>
      </c>
      <c r="K173" t="s">
        <v>770</v>
      </c>
      <c r="L173">
        <v>1371</v>
      </c>
      <c r="N173">
        <v>1013</v>
      </c>
      <c r="O173" t="s">
        <v>220</v>
      </c>
      <c r="P173" t="s">
        <v>220</v>
      </c>
      <c r="Q173">
        <v>1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1</v>
      </c>
      <c r="AD173">
        <v>0</v>
      </c>
      <c r="AE173">
        <v>0</v>
      </c>
      <c r="AF173" t="s">
        <v>97</v>
      </c>
      <c r="AG173">
        <v>0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ROW(Source!A124)</f>
        <v>124</v>
      </c>
      <c r="B174">
        <v>65171462</v>
      </c>
      <c r="C174">
        <v>65171439</v>
      </c>
      <c r="D174">
        <v>56222421</v>
      </c>
      <c r="E174">
        <v>108</v>
      </c>
      <c r="F174">
        <v>1</v>
      </c>
      <c r="G174">
        <v>1</v>
      </c>
      <c r="H174">
        <v>3</v>
      </c>
      <c r="I174" t="s">
        <v>771</v>
      </c>
      <c r="J174" t="s">
        <v>3</v>
      </c>
      <c r="K174" t="s">
        <v>772</v>
      </c>
      <c r="L174">
        <v>1477</v>
      </c>
      <c r="N174">
        <v>1013</v>
      </c>
      <c r="O174" t="s">
        <v>294</v>
      </c>
      <c r="P174" t="s">
        <v>296</v>
      </c>
      <c r="Q174">
        <v>1</v>
      </c>
      <c r="X174">
        <v>3.06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 t="s">
        <v>97</v>
      </c>
      <c r="AG174">
        <v>0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ROW(Source!A125)</f>
        <v>125</v>
      </c>
      <c r="B175">
        <v>65171469</v>
      </c>
      <c r="C175">
        <v>65171463</v>
      </c>
      <c r="D175">
        <v>37071037</v>
      </c>
      <c r="E175">
        <v>108</v>
      </c>
      <c r="F175">
        <v>1</v>
      </c>
      <c r="G175">
        <v>1</v>
      </c>
      <c r="H175">
        <v>1</v>
      </c>
      <c r="I175" t="s">
        <v>653</v>
      </c>
      <c r="J175" t="s">
        <v>3</v>
      </c>
      <c r="K175" t="s">
        <v>654</v>
      </c>
      <c r="L175">
        <v>1191</v>
      </c>
      <c r="N175">
        <v>1013</v>
      </c>
      <c r="O175" t="s">
        <v>509</v>
      </c>
      <c r="P175" t="s">
        <v>509</v>
      </c>
      <c r="Q175">
        <v>1</v>
      </c>
      <c r="X175">
        <v>0.4</v>
      </c>
      <c r="Y175">
        <v>0</v>
      </c>
      <c r="Z175">
        <v>0</v>
      </c>
      <c r="AA175">
        <v>0</v>
      </c>
      <c r="AB175">
        <v>490.55</v>
      </c>
      <c r="AC175">
        <v>0</v>
      </c>
      <c r="AD175">
        <v>1</v>
      </c>
      <c r="AE175">
        <v>1</v>
      </c>
      <c r="AF175" t="s">
        <v>223</v>
      </c>
      <c r="AG175">
        <v>0.12</v>
      </c>
      <c r="AH175">
        <v>2</v>
      </c>
      <c r="AI175">
        <v>65171464</v>
      </c>
      <c r="AJ175">
        <v>177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ROW(Source!A125)</f>
        <v>125</v>
      </c>
      <c r="B176">
        <v>65171470</v>
      </c>
      <c r="C176">
        <v>65171463</v>
      </c>
      <c r="D176">
        <v>37064876</v>
      </c>
      <c r="E176">
        <v>108</v>
      </c>
      <c r="F176">
        <v>1</v>
      </c>
      <c r="G176">
        <v>1</v>
      </c>
      <c r="H176">
        <v>1</v>
      </c>
      <c r="I176" t="s">
        <v>510</v>
      </c>
      <c r="J176" t="s">
        <v>3</v>
      </c>
      <c r="K176" t="s">
        <v>511</v>
      </c>
      <c r="L176">
        <v>1191</v>
      </c>
      <c r="N176">
        <v>1013</v>
      </c>
      <c r="O176" t="s">
        <v>509</v>
      </c>
      <c r="P176" t="s">
        <v>509</v>
      </c>
      <c r="Q176">
        <v>1</v>
      </c>
      <c r="X176">
        <v>0.01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2</v>
      </c>
      <c r="AF176" t="s">
        <v>223</v>
      </c>
      <c r="AG176">
        <v>3.0000000000000001E-3</v>
      </c>
      <c r="AH176">
        <v>2</v>
      </c>
      <c r="AI176">
        <v>65171465</v>
      </c>
      <c r="AJ176">
        <v>178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ROW(Source!A125)</f>
        <v>125</v>
      </c>
      <c r="B177">
        <v>65171471</v>
      </c>
      <c r="C177">
        <v>65171463</v>
      </c>
      <c r="D177">
        <v>56571417</v>
      </c>
      <c r="E177">
        <v>1</v>
      </c>
      <c r="F177">
        <v>1</v>
      </c>
      <c r="G177">
        <v>1</v>
      </c>
      <c r="H177">
        <v>2</v>
      </c>
      <c r="I177" t="s">
        <v>512</v>
      </c>
      <c r="J177" t="s">
        <v>513</v>
      </c>
      <c r="K177" t="s">
        <v>514</v>
      </c>
      <c r="L177">
        <v>1368</v>
      </c>
      <c r="N177">
        <v>1011</v>
      </c>
      <c r="O177" t="s">
        <v>515</v>
      </c>
      <c r="P177" t="s">
        <v>515</v>
      </c>
      <c r="Q177">
        <v>1</v>
      </c>
      <c r="X177">
        <v>7.0000000000000001E-3</v>
      </c>
      <c r="Y177">
        <v>0</v>
      </c>
      <c r="Z177">
        <v>1551.19</v>
      </c>
      <c r="AA177">
        <v>658.94</v>
      </c>
      <c r="AB177">
        <v>0</v>
      </c>
      <c r="AC177">
        <v>0</v>
      </c>
      <c r="AD177">
        <v>1</v>
      </c>
      <c r="AE177">
        <v>0</v>
      </c>
      <c r="AF177" t="s">
        <v>223</v>
      </c>
      <c r="AG177">
        <v>2.0999999999999999E-3</v>
      </c>
      <c r="AH177">
        <v>2</v>
      </c>
      <c r="AI177">
        <v>65171466</v>
      </c>
      <c r="AJ177">
        <v>179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ROW(Source!A125)</f>
        <v>125</v>
      </c>
      <c r="B178">
        <v>65171472</v>
      </c>
      <c r="C178">
        <v>65171463</v>
      </c>
      <c r="D178">
        <v>56572833</v>
      </c>
      <c r="E178">
        <v>1</v>
      </c>
      <c r="F178">
        <v>1</v>
      </c>
      <c r="G178">
        <v>1</v>
      </c>
      <c r="H178">
        <v>2</v>
      </c>
      <c r="I178" t="s">
        <v>520</v>
      </c>
      <c r="J178" t="s">
        <v>521</v>
      </c>
      <c r="K178" t="s">
        <v>522</v>
      </c>
      <c r="L178">
        <v>1368</v>
      </c>
      <c r="N178">
        <v>1011</v>
      </c>
      <c r="O178" t="s">
        <v>515</v>
      </c>
      <c r="P178" t="s">
        <v>515</v>
      </c>
      <c r="Q178">
        <v>1</v>
      </c>
      <c r="X178">
        <v>7.0000000000000001E-3</v>
      </c>
      <c r="Y178">
        <v>0</v>
      </c>
      <c r="Z178">
        <v>477.92</v>
      </c>
      <c r="AA178">
        <v>490.55</v>
      </c>
      <c r="AB178">
        <v>0</v>
      </c>
      <c r="AC178">
        <v>0</v>
      </c>
      <c r="AD178">
        <v>1</v>
      </c>
      <c r="AE178">
        <v>0</v>
      </c>
      <c r="AF178" t="s">
        <v>223</v>
      </c>
      <c r="AG178">
        <v>2.0999999999999999E-3</v>
      </c>
      <c r="AH178">
        <v>2</v>
      </c>
      <c r="AI178">
        <v>65171467</v>
      </c>
      <c r="AJ178">
        <v>180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ROW(Source!A125)</f>
        <v>125</v>
      </c>
      <c r="B179">
        <v>65171473</v>
      </c>
      <c r="C179">
        <v>65171463</v>
      </c>
      <c r="D179">
        <v>56580368</v>
      </c>
      <c r="E179">
        <v>1</v>
      </c>
      <c r="F179">
        <v>1</v>
      </c>
      <c r="G179">
        <v>1</v>
      </c>
      <c r="H179">
        <v>3</v>
      </c>
      <c r="I179" t="s">
        <v>553</v>
      </c>
      <c r="J179" t="s">
        <v>554</v>
      </c>
      <c r="K179" t="s">
        <v>555</v>
      </c>
      <c r="L179">
        <v>1346</v>
      </c>
      <c r="N179">
        <v>1009</v>
      </c>
      <c r="O179" t="s">
        <v>549</v>
      </c>
      <c r="P179" t="s">
        <v>549</v>
      </c>
      <c r="Q179">
        <v>1</v>
      </c>
      <c r="X179">
        <v>0.08</v>
      </c>
      <c r="Y179">
        <v>174.93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97</v>
      </c>
      <c r="AG179">
        <v>0</v>
      </c>
      <c r="AH179">
        <v>2</v>
      </c>
      <c r="AI179">
        <v>65171468</v>
      </c>
      <c r="AJ179">
        <v>181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ROW(Source!A125)</f>
        <v>125</v>
      </c>
      <c r="B180">
        <v>65171474</v>
      </c>
      <c r="C180">
        <v>65171463</v>
      </c>
      <c r="D180">
        <v>56223463</v>
      </c>
      <c r="E180">
        <v>108</v>
      </c>
      <c r="F180">
        <v>1</v>
      </c>
      <c r="G180">
        <v>1</v>
      </c>
      <c r="H180">
        <v>3</v>
      </c>
      <c r="I180" t="s">
        <v>667</v>
      </c>
      <c r="J180" t="s">
        <v>3</v>
      </c>
      <c r="K180" t="s">
        <v>668</v>
      </c>
      <c r="L180">
        <v>3277935</v>
      </c>
      <c r="N180">
        <v>1013</v>
      </c>
      <c r="O180" t="s">
        <v>669</v>
      </c>
      <c r="P180" t="s">
        <v>669</v>
      </c>
      <c r="Q180">
        <v>1</v>
      </c>
      <c r="X180">
        <v>2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 t="s">
        <v>97</v>
      </c>
      <c r="AG180">
        <v>0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ROW(Source!A126)</f>
        <v>126</v>
      </c>
      <c r="B181">
        <v>65171483</v>
      </c>
      <c r="C181">
        <v>65171475</v>
      </c>
      <c r="D181">
        <v>37064878</v>
      </c>
      <c r="E181">
        <v>108</v>
      </c>
      <c r="F181">
        <v>1</v>
      </c>
      <c r="G181">
        <v>1</v>
      </c>
      <c r="H181">
        <v>1</v>
      </c>
      <c r="I181" t="s">
        <v>715</v>
      </c>
      <c r="J181" t="s">
        <v>3</v>
      </c>
      <c r="K181" t="s">
        <v>716</v>
      </c>
      <c r="L181">
        <v>1191</v>
      </c>
      <c r="N181">
        <v>1013</v>
      </c>
      <c r="O181" t="s">
        <v>509</v>
      </c>
      <c r="P181" t="s">
        <v>509</v>
      </c>
      <c r="Q181">
        <v>1</v>
      </c>
      <c r="X181">
        <v>10.3</v>
      </c>
      <c r="Y181">
        <v>0</v>
      </c>
      <c r="Z181">
        <v>0</v>
      </c>
      <c r="AA181">
        <v>0</v>
      </c>
      <c r="AB181">
        <v>479.56</v>
      </c>
      <c r="AC181">
        <v>0</v>
      </c>
      <c r="AD181">
        <v>1</v>
      </c>
      <c r="AE181">
        <v>1</v>
      </c>
      <c r="AF181" t="s">
        <v>223</v>
      </c>
      <c r="AG181">
        <v>3.0900000000000003</v>
      </c>
      <c r="AH181">
        <v>2</v>
      </c>
      <c r="AI181">
        <v>65171476</v>
      </c>
      <c r="AJ181">
        <v>182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ROW(Source!A126)</f>
        <v>126</v>
      </c>
      <c r="B182">
        <v>65171484</v>
      </c>
      <c r="C182">
        <v>65171475</v>
      </c>
      <c r="D182">
        <v>37064876</v>
      </c>
      <c r="E182">
        <v>108</v>
      </c>
      <c r="F182">
        <v>1</v>
      </c>
      <c r="G182">
        <v>1</v>
      </c>
      <c r="H182">
        <v>1</v>
      </c>
      <c r="I182" t="s">
        <v>510</v>
      </c>
      <c r="J182" t="s">
        <v>3</v>
      </c>
      <c r="K182" t="s">
        <v>511</v>
      </c>
      <c r="L182">
        <v>1191</v>
      </c>
      <c r="N182">
        <v>1013</v>
      </c>
      <c r="O182" t="s">
        <v>509</v>
      </c>
      <c r="P182" t="s">
        <v>509</v>
      </c>
      <c r="Q182">
        <v>1</v>
      </c>
      <c r="X182">
        <v>0.54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2</v>
      </c>
      <c r="AF182" t="s">
        <v>223</v>
      </c>
      <c r="AG182">
        <v>0.16200000000000001</v>
      </c>
      <c r="AH182">
        <v>2</v>
      </c>
      <c r="AI182">
        <v>65171477</v>
      </c>
      <c r="AJ182">
        <v>183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ROW(Source!A126)</f>
        <v>126</v>
      </c>
      <c r="B183">
        <v>65171485</v>
      </c>
      <c r="C183">
        <v>65171475</v>
      </c>
      <c r="D183">
        <v>56571417</v>
      </c>
      <c r="E183">
        <v>1</v>
      </c>
      <c r="F183">
        <v>1</v>
      </c>
      <c r="G183">
        <v>1</v>
      </c>
      <c r="H183">
        <v>2</v>
      </c>
      <c r="I183" t="s">
        <v>512</v>
      </c>
      <c r="J183" t="s">
        <v>513</v>
      </c>
      <c r="K183" t="s">
        <v>514</v>
      </c>
      <c r="L183">
        <v>1368</v>
      </c>
      <c r="N183">
        <v>1011</v>
      </c>
      <c r="O183" t="s">
        <v>515</v>
      </c>
      <c r="P183" t="s">
        <v>515</v>
      </c>
      <c r="Q183">
        <v>1</v>
      </c>
      <c r="X183">
        <v>0.27</v>
      </c>
      <c r="Y183">
        <v>0</v>
      </c>
      <c r="Z183">
        <v>1551.19</v>
      </c>
      <c r="AA183">
        <v>658.94</v>
      </c>
      <c r="AB183">
        <v>0</v>
      </c>
      <c r="AC183">
        <v>0</v>
      </c>
      <c r="AD183">
        <v>1</v>
      </c>
      <c r="AE183">
        <v>0</v>
      </c>
      <c r="AF183" t="s">
        <v>223</v>
      </c>
      <c r="AG183">
        <v>8.1000000000000003E-2</v>
      </c>
      <c r="AH183">
        <v>2</v>
      </c>
      <c r="AI183">
        <v>65171478</v>
      </c>
      <c r="AJ183">
        <v>184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ROW(Source!A126)</f>
        <v>126</v>
      </c>
      <c r="B184">
        <v>65171486</v>
      </c>
      <c r="C184">
        <v>65171475</v>
      </c>
      <c r="D184">
        <v>56572833</v>
      </c>
      <c r="E184">
        <v>1</v>
      </c>
      <c r="F184">
        <v>1</v>
      </c>
      <c r="G184">
        <v>1</v>
      </c>
      <c r="H184">
        <v>2</v>
      </c>
      <c r="I184" t="s">
        <v>520</v>
      </c>
      <c r="J184" t="s">
        <v>521</v>
      </c>
      <c r="K184" t="s">
        <v>522</v>
      </c>
      <c r="L184">
        <v>1368</v>
      </c>
      <c r="N184">
        <v>1011</v>
      </c>
      <c r="O184" t="s">
        <v>515</v>
      </c>
      <c r="P184" t="s">
        <v>515</v>
      </c>
      <c r="Q184">
        <v>1</v>
      </c>
      <c r="X184">
        <v>0.27</v>
      </c>
      <c r="Y184">
        <v>0</v>
      </c>
      <c r="Z184">
        <v>477.92</v>
      </c>
      <c r="AA184">
        <v>490.55</v>
      </c>
      <c r="AB184">
        <v>0</v>
      </c>
      <c r="AC184">
        <v>0</v>
      </c>
      <c r="AD184">
        <v>1</v>
      </c>
      <c r="AE184">
        <v>0</v>
      </c>
      <c r="AF184" t="s">
        <v>223</v>
      </c>
      <c r="AG184">
        <v>8.1000000000000003E-2</v>
      </c>
      <c r="AH184">
        <v>2</v>
      </c>
      <c r="AI184">
        <v>65171479</v>
      </c>
      <c r="AJ184">
        <v>185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ROW(Source!A126)</f>
        <v>126</v>
      </c>
      <c r="B185">
        <v>65171487</v>
      </c>
      <c r="C185">
        <v>65171475</v>
      </c>
      <c r="D185">
        <v>56573153</v>
      </c>
      <c r="E185">
        <v>1</v>
      </c>
      <c r="F185">
        <v>1</v>
      </c>
      <c r="G185">
        <v>1</v>
      </c>
      <c r="H185">
        <v>2</v>
      </c>
      <c r="I185" t="s">
        <v>655</v>
      </c>
      <c r="J185" t="s">
        <v>656</v>
      </c>
      <c r="K185" t="s">
        <v>657</v>
      </c>
      <c r="L185">
        <v>1368</v>
      </c>
      <c r="N185">
        <v>1011</v>
      </c>
      <c r="O185" t="s">
        <v>515</v>
      </c>
      <c r="P185" t="s">
        <v>515</v>
      </c>
      <c r="Q185">
        <v>1</v>
      </c>
      <c r="X185">
        <v>1.51</v>
      </c>
      <c r="Y185">
        <v>0</v>
      </c>
      <c r="Z185">
        <v>26.32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223</v>
      </c>
      <c r="AG185">
        <v>0.45299999999999996</v>
      </c>
      <c r="AH185">
        <v>2</v>
      </c>
      <c r="AI185">
        <v>65171480</v>
      </c>
      <c r="AJ185">
        <v>186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ROW(Source!A126)</f>
        <v>126</v>
      </c>
      <c r="B186">
        <v>65171488</v>
      </c>
      <c r="C186">
        <v>65171475</v>
      </c>
      <c r="D186">
        <v>56579266</v>
      </c>
      <c r="E186">
        <v>1</v>
      </c>
      <c r="F186">
        <v>1</v>
      </c>
      <c r="G186">
        <v>1</v>
      </c>
      <c r="H186">
        <v>3</v>
      </c>
      <c r="I186" t="s">
        <v>550</v>
      </c>
      <c r="J186" t="s">
        <v>551</v>
      </c>
      <c r="K186" t="s">
        <v>552</v>
      </c>
      <c r="L186">
        <v>1346</v>
      </c>
      <c r="N186">
        <v>1009</v>
      </c>
      <c r="O186" t="s">
        <v>549</v>
      </c>
      <c r="P186" t="s">
        <v>549</v>
      </c>
      <c r="Q186">
        <v>1</v>
      </c>
      <c r="X186">
        <v>0.72</v>
      </c>
      <c r="Y186">
        <v>155.63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97</v>
      </c>
      <c r="AG186">
        <v>0</v>
      </c>
      <c r="AH186">
        <v>2</v>
      </c>
      <c r="AI186">
        <v>65171481</v>
      </c>
      <c r="AJ186">
        <v>187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ROW(Source!A126)</f>
        <v>126</v>
      </c>
      <c r="B187">
        <v>65171489</v>
      </c>
      <c r="C187">
        <v>65171475</v>
      </c>
      <c r="D187">
        <v>56609983</v>
      </c>
      <c r="E187">
        <v>1</v>
      </c>
      <c r="F187">
        <v>1</v>
      </c>
      <c r="G187">
        <v>1</v>
      </c>
      <c r="H187">
        <v>3</v>
      </c>
      <c r="I187" t="s">
        <v>717</v>
      </c>
      <c r="J187" t="s">
        <v>718</v>
      </c>
      <c r="K187" t="s">
        <v>719</v>
      </c>
      <c r="L187">
        <v>1346</v>
      </c>
      <c r="N187">
        <v>1009</v>
      </c>
      <c r="O187" t="s">
        <v>549</v>
      </c>
      <c r="P187" t="s">
        <v>549</v>
      </c>
      <c r="Q187">
        <v>1</v>
      </c>
      <c r="X187">
        <v>2.4</v>
      </c>
      <c r="Y187">
        <v>911.56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97</v>
      </c>
      <c r="AG187">
        <v>0</v>
      </c>
      <c r="AH187">
        <v>2</v>
      </c>
      <c r="AI187">
        <v>65171482</v>
      </c>
      <c r="AJ187">
        <v>188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ROW(Source!A126)</f>
        <v>126</v>
      </c>
      <c r="B188">
        <v>65171490</v>
      </c>
      <c r="C188">
        <v>65171475</v>
      </c>
      <c r="D188">
        <v>56223463</v>
      </c>
      <c r="E188">
        <v>108</v>
      </c>
      <c r="F188">
        <v>1</v>
      </c>
      <c r="G188">
        <v>1</v>
      </c>
      <c r="H188">
        <v>3</v>
      </c>
      <c r="I188" t="s">
        <v>667</v>
      </c>
      <c r="J188" t="s">
        <v>3</v>
      </c>
      <c r="K188" t="s">
        <v>668</v>
      </c>
      <c r="L188">
        <v>3277935</v>
      </c>
      <c r="N188">
        <v>1013</v>
      </c>
      <c r="O188" t="s">
        <v>669</v>
      </c>
      <c r="P188" t="s">
        <v>669</v>
      </c>
      <c r="Q188">
        <v>1</v>
      </c>
      <c r="X188">
        <v>2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 t="s">
        <v>97</v>
      </c>
      <c r="AG188">
        <v>0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ROW(Source!A127)</f>
        <v>127</v>
      </c>
      <c r="B189">
        <v>65171501</v>
      </c>
      <c r="C189">
        <v>65171491</v>
      </c>
      <c r="D189">
        <v>37064878</v>
      </c>
      <c r="E189">
        <v>108</v>
      </c>
      <c r="F189">
        <v>1</v>
      </c>
      <c r="G189">
        <v>1</v>
      </c>
      <c r="H189">
        <v>1</v>
      </c>
      <c r="I189" t="s">
        <v>715</v>
      </c>
      <c r="J189" t="s">
        <v>3</v>
      </c>
      <c r="K189" t="s">
        <v>716</v>
      </c>
      <c r="L189">
        <v>1191</v>
      </c>
      <c r="N189">
        <v>1013</v>
      </c>
      <c r="O189" t="s">
        <v>509</v>
      </c>
      <c r="P189" t="s">
        <v>509</v>
      </c>
      <c r="Q189">
        <v>1</v>
      </c>
      <c r="X189">
        <v>18.5</v>
      </c>
      <c r="Y189">
        <v>0</v>
      </c>
      <c r="Z189">
        <v>0</v>
      </c>
      <c r="AA189">
        <v>0</v>
      </c>
      <c r="AB189">
        <v>479.56</v>
      </c>
      <c r="AC189">
        <v>0</v>
      </c>
      <c r="AD189">
        <v>1</v>
      </c>
      <c r="AE189">
        <v>1</v>
      </c>
      <c r="AF189" t="s">
        <v>223</v>
      </c>
      <c r="AG189">
        <v>5.55</v>
      </c>
      <c r="AH189">
        <v>2</v>
      </c>
      <c r="AI189">
        <v>65171492</v>
      </c>
      <c r="AJ189">
        <v>189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ROW(Source!A127)</f>
        <v>127</v>
      </c>
      <c r="B190">
        <v>65171502</v>
      </c>
      <c r="C190">
        <v>65171491</v>
      </c>
      <c r="D190">
        <v>37064876</v>
      </c>
      <c r="E190">
        <v>108</v>
      </c>
      <c r="F190">
        <v>1</v>
      </c>
      <c r="G190">
        <v>1</v>
      </c>
      <c r="H190">
        <v>1</v>
      </c>
      <c r="I190" t="s">
        <v>510</v>
      </c>
      <c r="J190" t="s">
        <v>3</v>
      </c>
      <c r="K190" t="s">
        <v>511</v>
      </c>
      <c r="L190">
        <v>1191</v>
      </c>
      <c r="N190">
        <v>1013</v>
      </c>
      <c r="O190" t="s">
        <v>509</v>
      </c>
      <c r="P190" t="s">
        <v>509</v>
      </c>
      <c r="Q190">
        <v>1</v>
      </c>
      <c r="X190">
        <v>0.46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2</v>
      </c>
      <c r="AF190" t="s">
        <v>223</v>
      </c>
      <c r="AG190">
        <v>0.13800000000000001</v>
      </c>
      <c r="AH190">
        <v>2</v>
      </c>
      <c r="AI190">
        <v>65171493</v>
      </c>
      <c r="AJ190">
        <v>190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ROW(Source!A127)</f>
        <v>127</v>
      </c>
      <c r="B191">
        <v>65171503</v>
      </c>
      <c r="C191">
        <v>65171491</v>
      </c>
      <c r="D191">
        <v>56571417</v>
      </c>
      <c r="E191">
        <v>1</v>
      </c>
      <c r="F191">
        <v>1</v>
      </c>
      <c r="G191">
        <v>1</v>
      </c>
      <c r="H191">
        <v>2</v>
      </c>
      <c r="I191" t="s">
        <v>512</v>
      </c>
      <c r="J191" t="s">
        <v>513</v>
      </c>
      <c r="K191" t="s">
        <v>514</v>
      </c>
      <c r="L191">
        <v>1368</v>
      </c>
      <c r="N191">
        <v>1011</v>
      </c>
      <c r="O191" t="s">
        <v>515</v>
      </c>
      <c r="P191" t="s">
        <v>515</v>
      </c>
      <c r="Q191">
        <v>1</v>
      </c>
      <c r="X191">
        <v>0.23</v>
      </c>
      <c r="Y191">
        <v>0</v>
      </c>
      <c r="Z191">
        <v>1551.19</v>
      </c>
      <c r="AA191">
        <v>658.94</v>
      </c>
      <c r="AB191">
        <v>0</v>
      </c>
      <c r="AC191">
        <v>0</v>
      </c>
      <c r="AD191">
        <v>1</v>
      </c>
      <c r="AE191">
        <v>0</v>
      </c>
      <c r="AF191" t="s">
        <v>223</v>
      </c>
      <c r="AG191">
        <v>6.9000000000000006E-2</v>
      </c>
      <c r="AH191">
        <v>2</v>
      </c>
      <c r="AI191">
        <v>65171494</v>
      </c>
      <c r="AJ191">
        <v>191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ROW(Source!A127)</f>
        <v>127</v>
      </c>
      <c r="B192">
        <v>65171504</v>
      </c>
      <c r="C192">
        <v>65171491</v>
      </c>
      <c r="D192">
        <v>56572833</v>
      </c>
      <c r="E192">
        <v>1</v>
      </c>
      <c r="F192">
        <v>1</v>
      </c>
      <c r="G192">
        <v>1</v>
      </c>
      <c r="H192">
        <v>2</v>
      </c>
      <c r="I192" t="s">
        <v>520</v>
      </c>
      <c r="J192" t="s">
        <v>521</v>
      </c>
      <c r="K192" t="s">
        <v>522</v>
      </c>
      <c r="L192">
        <v>1368</v>
      </c>
      <c r="N192">
        <v>1011</v>
      </c>
      <c r="O192" t="s">
        <v>515</v>
      </c>
      <c r="P192" t="s">
        <v>515</v>
      </c>
      <c r="Q192">
        <v>1</v>
      </c>
      <c r="X192">
        <v>0.23</v>
      </c>
      <c r="Y192">
        <v>0</v>
      </c>
      <c r="Z192">
        <v>477.92</v>
      </c>
      <c r="AA192">
        <v>490.55</v>
      </c>
      <c r="AB192">
        <v>0</v>
      </c>
      <c r="AC192">
        <v>0</v>
      </c>
      <c r="AD192">
        <v>1</v>
      </c>
      <c r="AE192">
        <v>0</v>
      </c>
      <c r="AF192" t="s">
        <v>223</v>
      </c>
      <c r="AG192">
        <v>6.9000000000000006E-2</v>
      </c>
      <c r="AH192">
        <v>2</v>
      </c>
      <c r="AI192">
        <v>65171495</v>
      </c>
      <c r="AJ192">
        <v>192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ROW(Source!A127)</f>
        <v>127</v>
      </c>
      <c r="B193">
        <v>65171505</v>
      </c>
      <c r="C193">
        <v>65171491</v>
      </c>
      <c r="D193">
        <v>56573153</v>
      </c>
      <c r="E193">
        <v>1</v>
      </c>
      <c r="F193">
        <v>1</v>
      </c>
      <c r="G193">
        <v>1</v>
      </c>
      <c r="H193">
        <v>2</v>
      </c>
      <c r="I193" t="s">
        <v>655</v>
      </c>
      <c r="J193" t="s">
        <v>656</v>
      </c>
      <c r="K193" t="s">
        <v>657</v>
      </c>
      <c r="L193">
        <v>1368</v>
      </c>
      <c r="N193">
        <v>1011</v>
      </c>
      <c r="O193" t="s">
        <v>515</v>
      </c>
      <c r="P193" t="s">
        <v>515</v>
      </c>
      <c r="Q193">
        <v>1</v>
      </c>
      <c r="X193">
        <v>2.9</v>
      </c>
      <c r="Y193">
        <v>0</v>
      </c>
      <c r="Z193">
        <v>26.32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223</v>
      </c>
      <c r="AG193">
        <v>0.87</v>
      </c>
      <c r="AH193">
        <v>2</v>
      </c>
      <c r="AI193">
        <v>65171496</v>
      </c>
      <c r="AJ193">
        <v>193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ROW(Source!A127)</f>
        <v>127</v>
      </c>
      <c r="B194">
        <v>65171506</v>
      </c>
      <c r="C194">
        <v>65171491</v>
      </c>
      <c r="D194">
        <v>56579266</v>
      </c>
      <c r="E194">
        <v>1</v>
      </c>
      <c r="F194">
        <v>1</v>
      </c>
      <c r="G194">
        <v>1</v>
      </c>
      <c r="H194">
        <v>3</v>
      </c>
      <c r="I194" t="s">
        <v>550</v>
      </c>
      <c r="J194" t="s">
        <v>551</v>
      </c>
      <c r="K194" t="s">
        <v>552</v>
      </c>
      <c r="L194">
        <v>1346</v>
      </c>
      <c r="N194">
        <v>1009</v>
      </c>
      <c r="O194" t="s">
        <v>549</v>
      </c>
      <c r="P194" t="s">
        <v>549</v>
      </c>
      <c r="Q194">
        <v>1</v>
      </c>
      <c r="X194">
        <v>1.3</v>
      </c>
      <c r="Y194">
        <v>155.63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97</v>
      </c>
      <c r="AG194">
        <v>0</v>
      </c>
      <c r="AH194">
        <v>2</v>
      </c>
      <c r="AI194">
        <v>65171497</v>
      </c>
      <c r="AJ194">
        <v>194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ROW(Source!A127)</f>
        <v>127</v>
      </c>
      <c r="B195">
        <v>65171507</v>
      </c>
      <c r="C195">
        <v>65171491</v>
      </c>
      <c r="D195">
        <v>56592692</v>
      </c>
      <c r="E195">
        <v>1</v>
      </c>
      <c r="F195">
        <v>1</v>
      </c>
      <c r="G195">
        <v>1</v>
      </c>
      <c r="H195">
        <v>3</v>
      </c>
      <c r="I195" t="s">
        <v>720</v>
      </c>
      <c r="J195" t="s">
        <v>721</v>
      </c>
      <c r="K195" t="s">
        <v>722</v>
      </c>
      <c r="L195">
        <v>1348</v>
      </c>
      <c r="N195">
        <v>1009</v>
      </c>
      <c r="O195" t="s">
        <v>94</v>
      </c>
      <c r="P195" t="s">
        <v>94</v>
      </c>
      <c r="Q195">
        <v>1000</v>
      </c>
      <c r="X195">
        <v>4.0000000000000001E-3</v>
      </c>
      <c r="Y195">
        <v>71131.5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97</v>
      </c>
      <c r="AG195">
        <v>0</v>
      </c>
      <c r="AH195">
        <v>2</v>
      </c>
      <c r="AI195">
        <v>65171498</v>
      </c>
      <c r="AJ195">
        <v>195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ROW(Source!A127)</f>
        <v>127</v>
      </c>
      <c r="B196">
        <v>65171508</v>
      </c>
      <c r="C196">
        <v>65171491</v>
      </c>
      <c r="D196">
        <v>56609983</v>
      </c>
      <c r="E196">
        <v>1</v>
      </c>
      <c r="F196">
        <v>1</v>
      </c>
      <c r="G196">
        <v>1</v>
      </c>
      <c r="H196">
        <v>3</v>
      </c>
      <c r="I196" t="s">
        <v>717</v>
      </c>
      <c r="J196" t="s">
        <v>718</v>
      </c>
      <c r="K196" t="s">
        <v>719</v>
      </c>
      <c r="L196">
        <v>1346</v>
      </c>
      <c r="N196">
        <v>1009</v>
      </c>
      <c r="O196" t="s">
        <v>549</v>
      </c>
      <c r="P196" t="s">
        <v>549</v>
      </c>
      <c r="Q196">
        <v>1</v>
      </c>
      <c r="X196">
        <v>2.2999999999999998</v>
      </c>
      <c r="Y196">
        <v>911.56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97</v>
      </c>
      <c r="AG196">
        <v>0</v>
      </c>
      <c r="AH196">
        <v>2</v>
      </c>
      <c r="AI196">
        <v>65171499</v>
      </c>
      <c r="AJ196">
        <v>196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ROW(Source!A127)</f>
        <v>127</v>
      </c>
      <c r="B197">
        <v>65171509</v>
      </c>
      <c r="C197">
        <v>65171491</v>
      </c>
      <c r="D197">
        <v>56223463</v>
      </c>
      <c r="E197">
        <v>108</v>
      </c>
      <c r="F197">
        <v>1</v>
      </c>
      <c r="G197">
        <v>1</v>
      </c>
      <c r="H197">
        <v>3</v>
      </c>
      <c r="I197" t="s">
        <v>667</v>
      </c>
      <c r="J197" t="s">
        <v>3</v>
      </c>
      <c r="K197" t="s">
        <v>668</v>
      </c>
      <c r="L197">
        <v>3277935</v>
      </c>
      <c r="N197">
        <v>1013</v>
      </c>
      <c r="O197" t="s">
        <v>669</v>
      </c>
      <c r="P197" t="s">
        <v>669</v>
      </c>
      <c r="Q197">
        <v>1</v>
      </c>
      <c r="X197">
        <v>2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 t="s">
        <v>97</v>
      </c>
      <c r="AG197">
        <v>0</v>
      </c>
      <c r="AH197">
        <v>2</v>
      </c>
      <c r="AI197">
        <v>65171500</v>
      </c>
      <c r="AJ197">
        <v>197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ROW(Source!A163)</f>
        <v>163</v>
      </c>
      <c r="B198">
        <v>65171577</v>
      </c>
      <c r="C198">
        <v>65171567</v>
      </c>
      <c r="D198">
        <v>37071037</v>
      </c>
      <c r="E198">
        <v>108</v>
      </c>
      <c r="F198">
        <v>1</v>
      </c>
      <c r="G198">
        <v>1</v>
      </c>
      <c r="H198">
        <v>1</v>
      </c>
      <c r="I198" t="s">
        <v>653</v>
      </c>
      <c r="J198" t="s">
        <v>3</v>
      </c>
      <c r="K198" t="s">
        <v>654</v>
      </c>
      <c r="L198">
        <v>1191</v>
      </c>
      <c r="N198">
        <v>1013</v>
      </c>
      <c r="O198" t="s">
        <v>509</v>
      </c>
      <c r="P198" t="s">
        <v>509</v>
      </c>
      <c r="Q198">
        <v>1</v>
      </c>
      <c r="X198">
        <v>38.1</v>
      </c>
      <c r="Y198">
        <v>0</v>
      </c>
      <c r="Z198">
        <v>0</v>
      </c>
      <c r="AA198">
        <v>0</v>
      </c>
      <c r="AB198">
        <v>490.55</v>
      </c>
      <c r="AC198">
        <v>0</v>
      </c>
      <c r="AD198">
        <v>1</v>
      </c>
      <c r="AE198">
        <v>1</v>
      </c>
      <c r="AF198" t="s">
        <v>3</v>
      </c>
      <c r="AG198">
        <v>38.1</v>
      </c>
      <c r="AH198">
        <v>2</v>
      </c>
      <c r="AI198">
        <v>65171568</v>
      </c>
      <c r="AJ198">
        <v>198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ROW(Source!A163)</f>
        <v>163</v>
      </c>
      <c r="B199">
        <v>65171578</v>
      </c>
      <c r="C199">
        <v>65171567</v>
      </c>
      <c r="D199">
        <v>37064876</v>
      </c>
      <c r="E199">
        <v>108</v>
      </c>
      <c r="F199">
        <v>1</v>
      </c>
      <c r="G199">
        <v>1</v>
      </c>
      <c r="H199">
        <v>1</v>
      </c>
      <c r="I199" t="s">
        <v>510</v>
      </c>
      <c r="J199" t="s">
        <v>3</v>
      </c>
      <c r="K199" t="s">
        <v>511</v>
      </c>
      <c r="L199">
        <v>1191</v>
      </c>
      <c r="N199">
        <v>1013</v>
      </c>
      <c r="O199" t="s">
        <v>509</v>
      </c>
      <c r="P199" t="s">
        <v>509</v>
      </c>
      <c r="Q199">
        <v>1</v>
      </c>
      <c r="X199">
        <v>11.08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2</v>
      </c>
      <c r="AF199" t="s">
        <v>3</v>
      </c>
      <c r="AG199">
        <v>11.08</v>
      </c>
      <c r="AH199">
        <v>2</v>
      </c>
      <c r="AI199">
        <v>65171569</v>
      </c>
      <c r="AJ199">
        <v>199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ROW(Source!A163)</f>
        <v>163</v>
      </c>
      <c r="B200">
        <v>65171579</v>
      </c>
      <c r="C200">
        <v>65171567</v>
      </c>
      <c r="D200">
        <v>56571417</v>
      </c>
      <c r="E200">
        <v>1</v>
      </c>
      <c r="F200">
        <v>1</v>
      </c>
      <c r="G200">
        <v>1</v>
      </c>
      <c r="H200">
        <v>2</v>
      </c>
      <c r="I200" t="s">
        <v>512</v>
      </c>
      <c r="J200" t="s">
        <v>513</v>
      </c>
      <c r="K200" t="s">
        <v>514</v>
      </c>
      <c r="L200">
        <v>1368</v>
      </c>
      <c r="N200">
        <v>1011</v>
      </c>
      <c r="O200" t="s">
        <v>515</v>
      </c>
      <c r="P200" t="s">
        <v>515</v>
      </c>
      <c r="Q200">
        <v>1</v>
      </c>
      <c r="X200">
        <v>9.0500000000000007</v>
      </c>
      <c r="Y200">
        <v>0</v>
      </c>
      <c r="Z200">
        <v>1551.19</v>
      </c>
      <c r="AA200">
        <v>658.94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9.0500000000000007</v>
      </c>
      <c r="AH200">
        <v>2</v>
      </c>
      <c r="AI200">
        <v>65171570</v>
      </c>
      <c r="AJ200">
        <v>200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ROW(Source!A163)</f>
        <v>163</v>
      </c>
      <c r="B201">
        <v>65171580</v>
      </c>
      <c r="C201">
        <v>65171567</v>
      </c>
      <c r="D201">
        <v>56572833</v>
      </c>
      <c r="E201">
        <v>1</v>
      </c>
      <c r="F201">
        <v>1</v>
      </c>
      <c r="G201">
        <v>1</v>
      </c>
      <c r="H201">
        <v>2</v>
      </c>
      <c r="I201" t="s">
        <v>520</v>
      </c>
      <c r="J201" t="s">
        <v>521</v>
      </c>
      <c r="K201" t="s">
        <v>522</v>
      </c>
      <c r="L201">
        <v>1368</v>
      </c>
      <c r="N201">
        <v>1011</v>
      </c>
      <c r="O201" t="s">
        <v>515</v>
      </c>
      <c r="P201" t="s">
        <v>515</v>
      </c>
      <c r="Q201">
        <v>1</v>
      </c>
      <c r="X201">
        <v>2.0299999999999998</v>
      </c>
      <c r="Y201">
        <v>0</v>
      </c>
      <c r="Z201">
        <v>477.92</v>
      </c>
      <c r="AA201">
        <v>490.55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2.0299999999999998</v>
      </c>
      <c r="AH201">
        <v>2</v>
      </c>
      <c r="AI201">
        <v>65171571</v>
      </c>
      <c r="AJ201">
        <v>201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ROW(Source!A163)</f>
        <v>163</v>
      </c>
      <c r="B202">
        <v>65171581</v>
      </c>
      <c r="C202">
        <v>65171567</v>
      </c>
      <c r="D202">
        <v>56573153</v>
      </c>
      <c r="E202">
        <v>1</v>
      </c>
      <c r="F202">
        <v>1</v>
      </c>
      <c r="G202">
        <v>1</v>
      </c>
      <c r="H202">
        <v>2</v>
      </c>
      <c r="I202" t="s">
        <v>655</v>
      </c>
      <c r="J202" t="s">
        <v>656</v>
      </c>
      <c r="K202" t="s">
        <v>657</v>
      </c>
      <c r="L202">
        <v>1368</v>
      </c>
      <c r="N202">
        <v>1011</v>
      </c>
      <c r="O202" t="s">
        <v>515</v>
      </c>
      <c r="P202" t="s">
        <v>515</v>
      </c>
      <c r="Q202">
        <v>1</v>
      </c>
      <c r="X202">
        <v>2.0099999999999998</v>
      </c>
      <c r="Y202">
        <v>0</v>
      </c>
      <c r="Z202">
        <v>26.32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2.0099999999999998</v>
      </c>
      <c r="AH202">
        <v>2</v>
      </c>
      <c r="AI202">
        <v>65171572</v>
      </c>
      <c r="AJ202">
        <v>202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ROW(Source!A163)</f>
        <v>163</v>
      </c>
      <c r="B203">
        <v>65171582</v>
      </c>
      <c r="C203">
        <v>65171567</v>
      </c>
      <c r="D203">
        <v>56574475</v>
      </c>
      <c r="E203">
        <v>1</v>
      </c>
      <c r="F203">
        <v>1</v>
      </c>
      <c r="G203">
        <v>1</v>
      </c>
      <c r="H203">
        <v>3</v>
      </c>
      <c r="I203" t="s">
        <v>658</v>
      </c>
      <c r="J203" t="s">
        <v>659</v>
      </c>
      <c r="K203" t="s">
        <v>660</v>
      </c>
      <c r="L203">
        <v>1348</v>
      </c>
      <c r="N203">
        <v>1009</v>
      </c>
      <c r="O203" t="s">
        <v>94</v>
      </c>
      <c r="P203" t="s">
        <v>94</v>
      </c>
      <c r="Q203">
        <v>1000</v>
      </c>
      <c r="X203">
        <v>1.5E-3</v>
      </c>
      <c r="Y203">
        <v>305052.55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3</v>
      </c>
      <c r="AG203">
        <v>1.5E-3</v>
      </c>
      <c r="AH203">
        <v>2</v>
      </c>
      <c r="AI203">
        <v>65171573</v>
      </c>
      <c r="AJ203">
        <v>203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ROW(Source!A163)</f>
        <v>163</v>
      </c>
      <c r="B204">
        <v>65171583</v>
      </c>
      <c r="C204">
        <v>65171567</v>
      </c>
      <c r="D204">
        <v>56579266</v>
      </c>
      <c r="E204">
        <v>1</v>
      </c>
      <c r="F204">
        <v>1</v>
      </c>
      <c r="G204">
        <v>1</v>
      </c>
      <c r="H204">
        <v>3</v>
      </c>
      <c r="I204" t="s">
        <v>550</v>
      </c>
      <c r="J204" t="s">
        <v>551</v>
      </c>
      <c r="K204" t="s">
        <v>552</v>
      </c>
      <c r="L204">
        <v>1346</v>
      </c>
      <c r="N204">
        <v>1009</v>
      </c>
      <c r="O204" t="s">
        <v>549</v>
      </c>
      <c r="P204" t="s">
        <v>549</v>
      </c>
      <c r="Q204">
        <v>1</v>
      </c>
      <c r="X204">
        <v>0.5</v>
      </c>
      <c r="Y204">
        <v>155.63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3</v>
      </c>
      <c r="AG204">
        <v>0.5</v>
      </c>
      <c r="AH204">
        <v>2</v>
      </c>
      <c r="AI204">
        <v>65171574</v>
      </c>
      <c r="AJ204">
        <v>204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ROW(Source!A163)</f>
        <v>163</v>
      </c>
      <c r="B205">
        <v>65171584</v>
      </c>
      <c r="C205">
        <v>65171567</v>
      </c>
      <c r="D205">
        <v>56592838</v>
      </c>
      <c r="E205">
        <v>1</v>
      </c>
      <c r="F205">
        <v>1</v>
      </c>
      <c r="G205">
        <v>1</v>
      </c>
      <c r="H205">
        <v>3</v>
      </c>
      <c r="I205" t="s">
        <v>661</v>
      </c>
      <c r="J205" t="s">
        <v>662</v>
      </c>
      <c r="K205" t="s">
        <v>663</v>
      </c>
      <c r="L205">
        <v>1348</v>
      </c>
      <c r="N205">
        <v>1009</v>
      </c>
      <c r="O205" t="s">
        <v>94</v>
      </c>
      <c r="P205" t="s">
        <v>94</v>
      </c>
      <c r="Q205">
        <v>1000</v>
      </c>
      <c r="X205">
        <v>8.9999999999999993E-3</v>
      </c>
      <c r="Y205">
        <v>70310.45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3</v>
      </c>
      <c r="AG205">
        <v>8.9999999999999993E-3</v>
      </c>
      <c r="AH205">
        <v>2</v>
      </c>
      <c r="AI205">
        <v>65171575</v>
      </c>
      <c r="AJ205">
        <v>205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ROW(Source!A163)</f>
        <v>163</v>
      </c>
      <c r="B206">
        <v>65171585</v>
      </c>
      <c r="C206">
        <v>65171567</v>
      </c>
      <c r="D206">
        <v>56610296</v>
      </c>
      <c r="E206">
        <v>1</v>
      </c>
      <c r="F206">
        <v>1</v>
      </c>
      <c r="G206">
        <v>1</v>
      </c>
      <c r="H206">
        <v>3</v>
      </c>
      <c r="I206" t="s">
        <v>664</v>
      </c>
      <c r="J206" t="s">
        <v>665</v>
      </c>
      <c r="K206" t="s">
        <v>666</v>
      </c>
      <c r="L206">
        <v>1348</v>
      </c>
      <c r="N206">
        <v>1009</v>
      </c>
      <c r="O206" t="s">
        <v>94</v>
      </c>
      <c r="P206" t="s">
        <v>94</v>
      </c>
      <c r="Q206">
        <v>1000</v>
      </c>
      <c r="X206">
        <v>2.4000000000000001E-4</v>
      </c>
      <c r="Y206">
        <v>254539.74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3</v>
      </c>
      <c r="AG206">
        <v>2.4000000000000001E-4</v>
      </c>
      <c r="AH206">
        <v>2</v>
      </c>
      <c r="AI206">
        <v>65171576</v>
      </c>
      <c r="AJ206">
        <v>206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ROW(Source!A163)</f>
        <v>163</v>
      </c>
      <c r="B207">
        <v>65171586</v>
      </c>
      <c r="C207">
        <v>65171567</v>
      </c>
      <c r="D207">
        <v>56223463</v>
      </c>
      <c r="E207">
        <v>108</v>
      </c>
      <c r="F207">
        <v>1</v>
      </c>
      <c r="G207">
        <v>1</v>
      </c>
      <c r="H207">
        <v>3</v>
      </c>
      <c r="I207" t="s">
        <v>667</v>
      </c>
      <c r="J207" t="s">
        <v>3</v>
      </c>
      <c r="K207" t="s">
        <v>668</v>
      </c>
      <c r="L207">
        <v>3277935</v>
      </c>
      <c r="N207">
        <v>1013</v>
      </c>
      <c r="O207" t="s">
        <v>669</v>
      </c>
      <c r="P207" t="s">
        <v>669</v>
      </c>
      <c r="Q207">
        <v>1</v>
      </c>
      <c r="X207">
        <v>2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 t="s">
        <v>3</v>
      </c>
      <c r="AG207">
        <v>2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ROW(Source!A164)</f>
        <v>164</v>
      </c>
      <c r="B208">
        <v>65171594</v>
      </c>
      <c r="C208">
        <v>65171587</v>
      </c>
      <c r="D208">
        <v>37071037</v>
      </c>
      <c r="E208">
        <v>108</v>
      </c>
      <c r="F208">
        <v>1</v>
      </c>
      <c r="G208">
        <v>1</v>
      </c>
      <c r="H208">
        <v>1</v>
      </c>
      <c r="I208" t="s">
        <v>653</v>
      </c>
      <c r="J208" t="s">
        <v>3</v>
      </c>
      <c r="K208" t="s">
        <v>654</v>
      </c>
      <c r="L208">
        <v>1191</v>
      </c>
      <c r="N208">
        <v>1013</v>
      </c>
      <c r="O208" t="s">
        <v>509</v>
      </c>
      <c r="P208" t="s">
        <v>509</v>
      </c>
      <c r="Q208">
        <v>1</v>
      </c>
      <c r="X208">
        <v>19.7</v>
      </c>
      <c r="Y208">
        <v>0</v>
      </c>
      <c r="Z208">
        <v>0</v>
      </c>
      <c r="AA208">
        <v>0</v>
      </c>
      <c r="AB208">
        <v>490.55</v>
      </c>
      <c r="AC208">
        <v>0</v>
      </c>
      <c r="AD208">
        <v>1</v>
      </c>
      <c r="AE208">
        <v>1</v>
      </c>
      <c r="AF208" t="s">
        <v>3</v>
      </c>
      <c r="AG208">
        <v>19.7</v>
      </c>
      <c r="AH208">
        <v>2</v>
      </c>
      <c r="AI208">
        <v>65171588</v>
      </c>
      <c r="AJ208">
        <v>207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ROW(Source!A164)</f>
        <v>164</v>
      </c>
      <c r="B209">
        <v>65171595</v>
      </c>
      <c r="C209">
        <v>65171587</v>
      </c>
      <c r="D209">
        <v>37064876</v>
      </c>
      <c r="E209">
        <v>108</v>
      </c>
      <c r="F209">
        <v>1</v>
      </c>
      <c r="G209">
        <v>1</v>
      </c>
      <c r="H209">
        <v>1</v>
      </c>
      <c r="I209" t="s">
        <v>510</v>
      </c>
      <c r="J209" t="s">
        <v>3</v>
      </c>
      <c r="K209" t="s">
        <v>511</v>
      </c>
      <c r="L209">
        <v>1191</v>
      </c>
      <c r="N209">
        <v>1013</v>
      </c>
      <c r="O209" t="s">
        <v>509</v>
      </c>
      <c r="P209" t="s">
        <v>509</v>
      </c>
      <c r="Q209">
        <v>1</v>
      </c>
      <c r="X209">
        <v>1.88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2</v>
      </c>
      <c r="AF209" t="s">
        <v>3</v>
      </c>
      <c r="AG209">
        <v>1.88</v>
      </c>
      <c r="AH209">
        <v>2</v>
      </c>
      <c r="AI209">
        <v>65171589</v>
      </c>
      <c r="AJ209">
        <v>208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ROW(Source!A164)</f>
        <v>164</v>
      </c>
      <c r="B210">
        <v>65171596</v>
      </c>
      <c r="C210">
        <v>65171587</v>
      </c>
      <c r="D210">
        <v>56571417</v>
      </c>
      <c r="E210">
        <v>1</v>
      </c>
      <c r="F210">
        <v>1</v>
      </c>
      <c r="G210">
        <v>1</v>
      </c>
      <c r="H210">
        <v>2</v>
      </c>
      <c r="I210" t="s">
        <v>512</v>
      </c>
      <c r="J210" t="s">
        <v>513</v>
      </c>
      <c r="K210" t="s">
        <v>514</v>
      </c>
      <c r="L210">
        <v>1368</v>
      </c>
      <c r="N210">
        <v>1011</v>
      </c>
      <c r="O210" t="s">
        <v>515</v>
      </c>
      <c r="P210" t="s">
        <v>515</v>
      </c>
      <c r="Q210">
        <v>1</v>
      </c>
      <c r="X210">
        <v>0.9</v>
      </c>
      <c r="Y210">
        <v>0</v>
      </c>
      <c r="Z210">
        <v>1551.19</v>
      </c>
      <c r="AA210">
        <v>658.94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0.9</v>
      </c>
      <c r="AH210">
        <v>2</v>
      </c>
      <c r="AI210">
        <v>65171590</v>
      </c>
      <c r="AJ210">
        <v>209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ROW(Source!A164)</f>
        <v>164</v>
      </c>
      <c r="B211">
        <v>65171597</v>
      </c>
      <c r="C211">
        <v>65171587</v>
      </c>
      <c r="D211">
        <v>56572833</v>
      </c>
      <c r="E211">
        <v>1</v>
      </c>
      <c r="F211">
        <v>1</v>
      </c>
      <c r="G211">
        <v>1</v>
      </c>
      <c r="H211">
        <v>2</v>
      </c>
      <c r="I211" t="s">
        <v>520</v>
      </c>
      <c r="J211" t="s">
        <v>521</v>
      </c>
      <c r="K211" t="s">
        <v>522</v>
      </c>
      <c r="L211">
        <v>1368</v>
      </c>
      <c r="N211">
        <v>1011</v>
      </c>
      <c r="O211" t="s">
        <v>515</v>
      </c>
      <c r="P211" t="s">
        <v>515</v>
      </c>
      <c r="Q211">
        <v>1</v>
      </c>
      <c r="X211">
        <v>0.98</v>
      </c>
      <c r="Y211">
        <v>0</v>
      </c>
      <c r="Z211">
        <v>477.92</v>
      </c>
      <c r="AA211">
        <v>490.55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0.98</v>
      </c>
      <c r="AH211">
        <v>2</v>
      </c>
      <c r="AI211">
        <v>65171591</v>
      </c>
      <c r="AJ211">
        <v>210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ROW(Source!A164)</f>
        <v>164</v>
      </c>
      <c r="B212">
        <v>65171598</v>
      </c>
      <c r="C212">
        <v>65171587</v>
      </c>
      <c r="D212">
        <v>56580636</v>
      </c>
      <c r="E212">
        <v>1</v>
      </c>
      <c r="F212">
        <v>1</v>
      </c>
      <c r="G212">
        <v>1</v>
      </c>
      <c r="H212">
        <v>3</v>
      </c>
      <c r="I212" t="s">
        <v>670</v>
      </c>
      <c r="J212" t="s">
        <v>671</v>
      </c>
      <c r="K212" t="s">
        <v>672</v>
      </c>
      <c r="L212">
        <v>1346</v>
      </c>
      <c r="N212">
        <v>1009</v>
      </c>
      <c r="O212" t="s">
        <v>549</v>
      </c>
      <c r="P212" t="s">
        <v>549</v>
      </c>
      <c r="Q212">
        <v>1</v>
      </c>
      <c r="X212">
        <v>7</v>
      </c>
      <c r="Y212">
        <v>176.2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7</v>
      </c>
      <c r="AH212">
        <v>2</v>
      </c>
      <c r="AI212">
        <v>65171592</v>
      </c>
      <c r="AJ212">
        <v>211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ROW(Source!A164)</f>
        <v>164</v>
      </c>
      <c r="B213">
        <v>65171599</v>
      </c>
      <c r="C213">
        <v>65171587</v>
      </c>
      <c r="D213">
        <v>56654621</v>
      </c>
      <c r="E213">
        <v>1</v>
      </c>
      <c r="F213">
        <v>1</v>
      </c>
      <c r="G213">
        <v>1</v>
      </c>
      <c r="H213">
        <v>3</v>
      </c>
      <c r="I213" t="s">
        <v>673</v>
      </c>
      <c r="J213" t="s">
        <v>674</v>
      </c>
      <c r="K213" t="s">
        <v>675</v>
      </c>
      <c r="L213">
        <v>1371</v>
      </c>
      <c r="N213">
        <v>1013</v>
      </c>
      <c r="O213" t="s">
        <v>220</v>
      </c>
      <c r="P213" t="s">
        <v>220</v>
      </c>
      <c r="Q213">
        <v>1</v>
      </c>
      <c r="X213">
        <v>10</v>
      </c>
      <c r="Y213">
        <v>705.5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10</v>
      </c>
      <c r="AH213">
        <v>2</v>
      </c>
      <c r="AI213">
        <v>65171593</v>
      </c>
      <c r="AJ213">
        <v>212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ROW(Source!A164)</f>
        <v>164</v>
      </c>
      <c r="B214">
        <v>65171600</v>
      </c>
      <c r="C214">
        <v>65171587</v>
      </c>
      <c r="D214">
        <v>56223463</v>
      </c>
      <c r="E214">
        <v>108</v>
      </c>
      <c r="F214">
        <v>1</v>
      </c>
      <c r="G214">
        <v>1</v>
      </c>
      <c r="H214">
        <v>3</v>
      </c>
      <c r="I214" t="s">
        <v>667</v>
      </c>
      <c r="J214" t="s">
        <v>3</v>
      </c>
      <c r="K214" t="s">
        <v>668</v>
      </c>
      <c r="L214">
        <v>3277935</v>
      </c>
      <c r="N214">
        <v>1013</v>
      </c>
      <c r="O214" t="s">
        <v>669</v>
      </c>
      <c r="P214" t="s">
        <v>669</v>
      </c>
      <c r="Q214">
        <v>1</v>
      </c>
      <c r="X214">
        <v>2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 t="s">
        <v>3</v>
      </c>
      <c r="AG214">
        <v>2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ROW(Source!A165)</f>
        <v>165</v>
      </c>
      <c r="B215">
        <v>65171617</v>
      </c>
      <c r="C215">
        <v>65171601</v>
      </c>
      <c r="D215">
        <v>37075528</v>
      </c>
      <c r="E215">
        <v>108</v>
      </c>
      <c r="F215">
        <v>1</v>
      </c>
      <c r="G215">
        <v>1</v>
      </c>
      <c r="H215">
        <v>1</v>
      </c>
      <c r="I215" t="s">
        <v>676</v>
      </c>
      <c r="J215" t="s">
        <v>3</v>
      </c>
      <c r="K215" t="s">
        <v>677</v>
      </c>
      <c r="L215">
        <v>1191</v>
      </c>
      <c r="N215">
        <v>1013</v>
      </c>
      <c r="O215" t="s">
        <v>509</v>
      </c>
      <c r="P215" t="s">
        <v>509</v>
      </c>
      <c r="Q215">
        <v>1</v>
      </c>
      <c r="X215">
        <v>7.42</v>
      </c>
      <c r="Y215">
        <v>0</v>
      </c>
      <c r="Z215">
        <v>0</v>
      </c>
      <c r="AA215">
        <v>0</v>
      </c>
      <c r="AB215">
        <v>512.51</v>
      </c>
      <c r="AC215">
        <v>0</v>
      </c>
      <c r="AD215">
        <v>1</v>
      </c>
      <c r="AE215">
        <v>1</v>
      </c>
      <c r="AF215" t="s">
        <v>3</v>
      </c>
      <c r="AG215">
        <v>7.42</v>
      </c>
      <c r="AH215">
        <v>2</v>
      </c>
      <c r="AI215">
        <v>65171602</v>
      </c>
      <c r="AJ215">
        <v>213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ROW(Source!A165)</f>
        <v>165</v>
      </c>
      <c r="B216">
        <v>65171618</v>
      </c>
      <c r="C216">
        <v>65171601</v>
      </c>
      <c r="D216">
        <v>37064876</v>
      </c>
      <c r="E216">
        <v>108</v>
      </c>
      <c r="F216">
        <v>1</v>
      </c>
      <c r="G216">
        <v>1</v>
      </c>
      <c r="H216">
        <v>1</v>
      </c>
      <c r="I216" t="s">
        <v>510</v>
      </c>
      <c r="J216" t="s">
        <v>3</v>
      </c>
      <c r="K216" t="s">
        <v>511</v>
      </c>
      <c r="L216">
        <v>1191</v>
      </c>
      <c r="N216">
        <v>1013</v>
      </c>
      <c r="O216" t="s">
        <v>509</v>
      </c>
      <c r="P216" t="s">
        <v>509</v>
      </c>
      <c r="Q216">
        <v>1</v>
      </c>
      <c r="X216">
        <v>1.02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2</v>
      </c>
      <c r="AF216" t="s">
        <v>3</v>
      </c>
      <c r="AG216">
        <v>1.02</v>
      </c>
      <c r="AH216">
        <v>2</v>
      </c>
      <c r="AI216">
        <v>65171603</v>
      </c>
      <c r="AJ216">
        <v>214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ROW(Source!A165)</f>
        <v>165</v>
      </c>
      <c r="B217">
        <v>65171619</v>
      </c>
      <c r="C217">
        <v>65171601</v>
      </c>
      <c r="D217">
        <v>56571417</v>
      </c>
      <c r="E217">
        <v>1</v>
      </c>
      <c r="F217">
        <v>1</v>
      </c>
      <c r="G217">
        <v>1</v>
      </c>
      <c r="H217">
        <v>2</v>
      </c>
      <c r="I217" t="s">
        <v>512</v>
      </c>
      <c r="J217" t="s">
        <v>513</v>
      </c>
      <c r="K217" t="s">
        <v>514</v>
      </c>
      <c r="L217">
        <v>1368</v>
      </c>
      <c r="N217">
        <v>1011</v>
      </c>
      <c r="O217" t="s">
        <v>515</v>
      </c>
      <c r="P217" t="s">
        <v>515</v>
      </c>
      <c r="Q217">
        <v>1</v>
      </c>
      <c r="X217">
        <v>0.61</v>
      </c>
      <c r="Y217">
        <v>0</v>
      </c>
      <c r="Z217">
        <v>1551.19</v>
      </c>
      <c r="AA217">
        <v>658.94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0.61</v>
      </c>
      <c r="AH217">
        <v>2</v>
      </c>
      <c r="AI217">
        <v>65171604</v>
      </c>
      <c r="AJ217">
        <v>215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ROW(Source!A165)</f>
        <v>165</v>
      </c>
      <c r="B218">
        <v>65171620</v>
      </c>
      <c r="C218">
        <v>65171601</v>
      </c>
      <c r="D218">
        <v>56572833</v>
      </c>
      <c r="E218">
        <v>1</v>
      </c>
      <c r="F218">
        <v>1</v>
      </c>
      <c r="G218">
        <v>1</v>
      </c>
      <c r="H218">
        <v>2</v>
      </c>
      <c r="I218" t="s">
        <v>520</v>
      </c>
      <c r="J218" t="s">
        <v>521</v>
      </c>
      <c r="K218" t="s">
        <v>522</v>
      </c>
      <c r="L218">
        <v>1368</v>
      </c>
      <c r="N218">
        <v>1011</v>
      </c>
      <c r="O218" t="s">
        <v>515</v>
      </c>
      <c r="P218" t="s">
        <v>515</v>
      </c>
      <c r="Q218">
        <v>1</v>
      </c>
      <c r="X218">
        <v>0.41</v>
      </c>
      <c r="Y218">
        <v>0</v>
      </c>
      <c r="Z218">
        <v>477.92</v>
      </c>
      <c r="AA218">
        <v>490.55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0.41</v>
      </c>
      <c r="AH218">
        <v>2</v>
      </c>
      <c r="AI218">
        <v>65171605</v>
      </c>
      <c r="AJ218">
        <v>216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ROW(Source!A165)</f>
        <v>165</v>
      </c>
      <c r="B219">
        <v>65171621</v>
      </c>
      <c r="C219">
        <v>65171601</v>
      </c>
      <c r="D219">
        <v>56574842</v>
      </c>
      <c r="E219">
        <v>1</v>
      </c>
      <c r="F219">
        <v>1</v>
      </c>
      <c r="G219">
        <v>1</v>
      </c>
      <c r="H219">
        <v>3</v>
      </c>
      <c r="I219" t="s">
        <v>678</v>
      </c>
      <c r="J219" t="s">
        <v>679</v>
      </c>
      <c r="K219" t="s">
        <v>680</v>
      </c>
      <c r="L219">
        <v>1346</v>
      </c>
      <c r="N219">
        <v>1009</v>
      </c>
      <c r="O219" t="s">
        <v>549</v>
      </c>
      <c r="P219" t="s">
        <v>549</v>
      </c>
      <c r="Q219">
        <v>1</v>
      </c>
      <c r="X219">
        <v>0.01</v>
      </c>
      <c r="Y219">
        <v>238.29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3</v>
      </c>
      <c r="AG219">
        <v>0.01</v>
      </c>
      <c r="AH219">
        <v>2</v>
      </c>
      <c r="AI219">
        <v>65171606</v>
      </c>
      <c r="AJ219">
        <v>217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ROW(Source!A165)</f>
        <v>165</v>
      </c>
      <c r="B220">
        <v>65171622</v>
      </c>
      <c r="C220">
        <v>65171601</v>
      </c>
      <c r="D220">
        <v>56574852</v>
      </c>
      <c r="E220">
        <v>1</v>
      </c>
      <c r="F220">
        <v>1</v>
      </c>
      <c r="G220">
        <v>1</v>
      </c>
      <c r="H220">
        <v>3</v>
      </c>
      <c r="I220" t="s">
        <v>681</v>
      </c>
      <c r="J220" t="s">
        <v>682</v>
      </c>
      <c r="K220" t="s">
        <v>683</v>
      </c>
      <c r="L220">
        <v>1346</v>
      </c>
      <c r="N220">
        <v>1009</v>
      </c>
      <c r="O220" t="s">
        <v>549</v>
      </c>
      <c r="P220" t="s">
        <v>549</v>
      </c>
      <c r="Q220">
        <v>1</v>
      </c>
      <c r="X220">
        <v>0.03</v>
      </c>
      <c r="Y220">
        <v>80.02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3</v>
      </c>
      <c r="AG220">
        <v>0.03</v>
      </c>
      <c r="AH220">
        <v>2</v>
      </c>
      <c r="AI220">
        <v>65171607</v>
      </c>
      <c r="AJ220">
        <v>218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ROW(Source!A165)</f>
        <v>165</v>
      </c>
      <c r="B221">
        <v>65171623</v>
      </c>
      <c r="C221">
        <v>65171601</v>
      </c>
      <c r="D221">
        <v>56580368</v>
      </c>
      <c r="E221">
        <v>1</v>
      </c>
      <c r="F221">
        <v>1</v>
      </c>
      <c r="G221">
        <v>1</v>
      </c>
      <c r="H221">
        <v>3</v>
      </c>
      <c r="I221" t="s">
        <v>553</v>
      </c>
      <c r="J221" t="s">
        <v>554</v>
      </c>
      <c r="K221" t="s">
        <v>555</v>
      </c>
      <c r="L221">
        <v>1346</v>
      </c>
      <c r="N221">
        <v>1009</v>
      </c>
      <c r="O221" t="s">
        <v>549</v>
      </c>
      <c r="P221" t="s">
        <v>549</v>
      </c>
      <c r="Q221">
        <v>1</v>
      </c>
      <c r="X221">
        <v>0</v>
      </c>
      <c r="Y221">
        <v>174.93</v>
      </c>
      <c r="Z221">
        <v>0</v>
      </c>
      <c r="AA221">
        <v>0</v>
      </c>
      <c r="AB221">
        <v>0</v>
      </c>
      <c r="AC221">
        <v>1</v>
      </c>
      <c r="AD221">
        <v>0</v>
      </c>
      <c r="AE221">
        <v>0</v>
      </c>
      <c r="AF221" t="s">
        <v>3</v>
      </c>
      <c r="AG221">
        <v>0</v>
      </c>
      <c r="AH221">
        <v>2</v>
      </c>
      <c r="AI221">
        <v>65171608</v>
      </c>
      <c r="AJ221">
        <v>219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ROW(Source!A165)</f>
        <v>165</v>
      </c>
      <c r="B222">
        <v>65171624</v>
      </c>
      <c r="C222">
        <v>65171601</v>
      </c>
      <c r="D222">
        <v>56582407</v>
      </c>
      <c r="E222">
        <v>1</v>
      </c>
      <c r="F222">
        <v>1</v>
      </c>
      <c r="G222">
        <v>1</v>
      </c>
      <c r="H222">
        <v>3</v>
      </c>
      <c r="I222" t="s">
        <v>625</v>
      </c>
      <c r="J222" t="s">
        <v>626</v>
      </c>
      <c r="K222" t="s">
        <v>627</v>
      </c>
      <c r="L222">
        <v>1346</v>
      </c>
      <c r="N222">
        <v>1009</v>
      </c>
      <c r="O222" t="s">
        <v>549</v>
      </c>
      <c r="P222" t="s">
        <v>549</v>
      </c>
      <c r="Q222">
        <v>1</v>
      </c>
      <c r="X222">
        <v>0.02</v>
      </c>
      <c r="Y222">
        <v>56.11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0.02</v>
      </c>
      <c r="AH222">
        <v>2</v>
      </c>
      <c r="AI222">
        <v>65171609</v>
      </c>
      <c r="AJ222">
        <v>220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ROW(Source!A165)</f>
        <v>165</v>
      </c>
      <c r="B223">
        <v>65171625</v>
      </c>
      <c r="C223">
        <v>65171601</v>
      </c>
      <c r="D223">
        <v>56219777</v>
      </c>
      <c r="E223">
        <v>108</v>
      </c>
      <c r="F223">
        <v>1</v>
      </c>
      <c r="G223">
        <v>1</v>
      </c>
      <c r="H223">
        <v>3</v>
      </c>
      <c r="I223" t="s">
        <v>684</v>
      </c>
      <c r="J223" t="s">
        <v>3</v>
      </c>
      <c r="K223" t="s">
        <v>685</v>
      </c>
      <c r="L223">
        <v>1346</v>
      </c>
      <c r="N223">
        <v>1009</v>
      </c>
      <c r="O223" t="s">
        <v>549</v>
      </c>
      <c r="P223" t="s">
        <v>549</v>
      </c>
      <c r="Q223">
        <v>1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1</v>
      </c>
      <c r="AD223">
        <v>0</v>
      </c>
      <c r="AE223">
        <v>0</v>
      </c>
      <c r="AF223" t="s">
        <v>3</v>
      </c>
      <c r="AG223">
        <v>0</v>
      </c>
      <c r="AH223">
        <v>2</v>
      </c>
      <c r="AI223">
        <v>65171610</v>
      </c>
      <c r="AJ223">
        <v>221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ROW(Source!A165)</f>
        <v>165</v>
      </c>
      <c r="B224">
        <v>65171626</v>
      </c>
      <c r="C224">
        <v>65171601</v>
      </c>
      <c r="D224">
        <v>56220120</v>
      </c>
      <c r="E224">
        <v>108</v>
      </c>
      <c r="F224">
        <v>1</v>
      </c>
      <c r="G224">
        <v>1</v>
      </c>
      <c r="H224">
        <v>3</v>
      </c>
      <c r="I224" t="s">
        <v>686</v>
      </c>
      <c r="J224" t="s">
        <v>3</v>
      </c>
      <c r="K224" t="s">
        <v>687</v>
      </c>
      <c r="L224">
        <v>1348</v>
      </c>
      <c r="N224">
        <v>1009</v>
      </c>
      <c r="O224" t="s">
        <v>94</v>
      </c>
      <c r="P224" t="s">
        <v>94</v>
      </c>
      <c r="Q224">
        <v>1000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1</v>
      </c>
      <c r="AD224">
        <v>0</v>
      </c>
      <c r="AE224">
        <v>0</v>
      </c>
      <c r="AF224" t="s">
        <v>3</v>
      </c>
      <c r="AG224">
        <v>0</v>
      </c>
      <c r="AH224">
        <v>2</v>
      </c>
      <c r="AI224">
        <v>65171611</v>
      </c>
      <c r="AJ224">
        <v>222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ROW(Source!A165)</f>
        <v>165</v>
      </c>
      <c r="B225">
        <v>65171627</v>
      </c>
      <c r="C225">
        <v>65171601</v>
      </c>
      <c r="D225">
        <v>56610133</v>
      </c>
      <c r="E225">
        <v>1</v>
      </c>
      <c r="F225">
        <v>1</v>
      </c>
      <c r="G225">
        <v>1</v>
      </c>
      <c r="H225">
        <v>3</v>
      </c>
      <c r="I225" t="s">
        <v>688</v>
      </c>
      <c r="J225" t="s">
        <v>689</v>
      </c>
      <c r="K225" t="s">
        <v>690</v>
      </c>
      <c r="L225">
        <v>1348</v>
      </c>
      <c r="N225">
        <v>1009</v>
      </c>
      <c r="O225" t="s">
        <v>94</v>
      </c>
      <c r="P225" t="s">
        <v>94</v>
      </c>
      <c r="Q225">
        <v>1000</v>
      </c>
      <c r="X225">
        <v>1E-4</v>
      </c>
      <c r="Y225">
        <v>80020.98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3</v>
      </c>
      <c r="AG225">
        <v>1E-4</v>
      </c>
      <c r="AH225">
        <v>2</v>
      </c>
      <c r="AI225">
        <v>65171612</v>
      </c>
      <c r="AJ225">
        <v>223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ROW(Source!A165)</f>
        <v>165</v>
      </c>
      <c r="B226">
        <v>65171628</v>
      </c>
      <c r="C226">
        <v>65171601</v>
      </c>
      <c r="D226">
        <v>56610726</v>
      </c>
      <c r="E226">
        <v>1</v>
      </c>
      <c r="F226">
        <v>1</v>
      </c>
      <c r="G226">
        <v>1</v>
      </c>
      <c r="H226">
        <v>3</v>
      </c>
      <c r="I226" t="s">
        <v>628</v>
      </c>
      <c r="J226" t="s">
        <v>629</v>
      </c>
      <c r="K226" t="s">
        <v>630</v>
      </c>
      <c r="L226">
        <v>1346</v>
      </c>
      <c r="N226">
        <v>1009</v>
      </c>
      <c r="O226" t="s">
        <v>549</v>
      </c>
      <c r="P226" t="s">
        <v>549</v>
      </c>
      <c r="Q226">
        <v>1</v>
      </c>
      <c r="X226">
        <v>0.12</v>
      </c>
      <c r="Y226">
        <v>60.6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3</v>
      </c>
      <c r="AG226">
        <v>0.12</v>
      </c>
      <c r="AH226">
        <v>2</v>
      </c>
      <c r="AI226">
        <v>65171613</v>
      </c>
      <c r="AJ226">
        <v>224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ROW(Source!A165)</f>
        <v>165</v>
      </c>
      <c r="B227">
        <v>65171629</v>
      </c>
      <c r="C227">
        <v>65171601</v>
      </c>
      <c r="D227">
        <v>56222425</v>
      </c>
      <c r="E227">
        <v>108</v>
      </c>
      <c r="F227">
        <v>1</v>
      </c>
      <c r="G227">
        <v>1</v>
      </c>
      <c r="H227">
        <v>3</v>
      </c>
      <c r="I227" t="s">
        <v>691</v>
      </c>
      <c r="J227" t="s">
        <v>3</v>
      </c>
      <c r="K227" t="s">
        <v>692</v>
      </c>
      <c r="L227">
        <v>1348</v>
      </c>
      <c r="N227">
        <v>1009</v>
      </c>
      <c r="O227" t="s">
        <v>94</v>
      </c>
      <c r="P227" t="s">
        <v>94</v>
      </c>
      <c r="Q227">
        <v>1000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1</v>
      </c>
      <c r="AD227">
        <v>0</v>
      </c>
      <c r="AE227">
        <v>0</v>
      </c>
      <c r="AF227" t="s">
        <v>3</v>
      </c>
      <c r="AG227">
        <v>0</v>
      </c>
      <c r="AH227">
        <v>2</v>
      </c>
      <c r="AI227">
        <v>65171614</v>
      </c>
      <c r="AJ227">
        <v>225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ROW(Source!A165)</f>
        <v>165</v>
      </c>
      <c r="B228">
        <v>65171630</v>
      </c>
      <c r="C228">
        <v>65171601</v>
      </c>
      <c r="D228">
        <v>56222457</v>
      </c>
      <c r="E228">
        <v>108</v>
      </c>
      <c r="F228">
        <v>1</v>
      </c>
      <c r="G228">
        <v>1</v>
      </c>
      <c r="H228">
        <v>3</v>
      </c>
      <c r="I228" t="s">
        <v>693</v>
      </c>
      <c r="J228" t="s">
        <v>3</v>
      </c>
      <c r="K228" t="s">
        <v>694</v>
      </c>
      <c r="L228">
        <v>1371</v>
      </c>
      <c r="N228">
        <v>1013</v>
      </c>
      <c r="O228" t="s">
        <v>220</v>
      </c>
      <c r="P228" t="s">
        <v>220</v>
      </c>
      <c r="Q228">
        <v>1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1</v>
      </c>
      <c r="AD228">
        <v>0</v>
      </c>
      <c r="AE228">
        <v>0</v>
      </c>
      <c r="AF228" t="s">
        <v>3</v>
      </c>
      <c r="AG228">
        <v>0</v>
      </c>
      <c r="AH228">
        <v>2</v>
      </c>
      <c r="AI228">
        <v>65171615</v>
      </c>
      <c r="AJ228">
        <v>226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ROW(Source!A165)</f>
        <v>165</v>
      </c>
      <c r="B229">
        <v>65171631</v>
      </c>
      <c r="C229">
        <v>65171601</v>
      </c>
      <c r="D229">
        <v>56222466</v>
      </c>
      <c r="E229">
        <v>108</v>
      </c>
      <c r="F229">
        <v>1</v>
      </c>
      <c r="G229">
        <v>1</v>
      </c>
      <c r="H229">
        <v>3</v>
      </c>
      <c r="I229" t="s">
        <v>695</v>
      </c>
      <c r="J229" t="s">
        <v>3</v>
      </c>
      <c r="K229" t="s">
        <v>696</v>
      </c>
      <c r="L229">
        <v>1346</v>
      </c>
      <c r="N229">
        <v>1009</v>
      </c>
      <c r="O229" t="s">
        <v>549</v>
      </c>
      <c r="P229" t="s">
        <v>549</v>
      </c>
      <c r="Q229">
        <v>1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1</v>
      </c>
      <c r="AD229">
        <v>0</v>
      </c>
      <c r="AE229">
        <v>0</v>
      </c>
      <c r="AF229" t="s">
        <v>3</v>
      </c>
      <c r="AG229">
        <v>0</v>
      </c>
      <c r="AH229">
        <v>2</v>
      </c>
      <c r="AI229">
        <v>65171616</v>
      </c>
      <c r="AJ229">
        <v>227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ROW(Source!A166)</f>
        <v>166</v>
      </c>
      <c r="B230">
        <v>65171678</v>
      </c>
      <c r="C230">
        <v>65171668</v>
      </c>
      <c r="D230">
        <v>37071037</v>
      </c>
      <c r="E230">
        <v>108</v>
      </c>
      <c r="F230">
        <v>1</v>
      </c>
      <c r="G230">
        <v>1</v>
      </c>
      <c r="H230">
        <v>1</v>
      </c>
      <c r="I230" t="s">
        <v>653</v>
      </c>
      <c r="J230" t="s">
        <v>3</v>
      </c>
      <c r="K230" t="s">
        <v>654</v>
      </c>
      <c r="L230">
        <v>1191</v>
      </c>
      <c r="N230">
        <v>1013</v>
      </c>
      <c r="O230" t="s">
        <v>509</v>
      </c>
      <c r="P230" t="s">
        <v>509</v>
      </c>
      <c r="Q230">
        <v>1</v>
      </c>
      <c r="X230">
        <v>41.2</v>
      </c>
      <c r="Y230">
        <v>0</v>
      </c>
      <c r="Z230">
        <v>0</v>
      </c>
      <c r="AA230">
        <v>0</v>
      </c>
      <c r="AB230">
        <v>490.55</v>
      </c>
      <c r="AC230">
        <v>0</v>
      </c>
      <c r="AD230">
        <v>1</v>
      </c>
      <c r="AE230">
        <v>1</v>
      </c>
      <c r="AF230" t="s">
        <v>3</v>
      </c>
      <c r="AG230">
        <v>41.2</v>
      </c>
      <c r="AH230">
        <v>2</v>
      </c>
      <c r="AI230">
        <v>65171669</v>
      </c>
      <c r="AJ230">
        <v>228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ROW(Source!A166)</f>
        <v>166</v>
      </c>
      <c r="B231">
        <v>65171679</v>
      </c>
      <c r="C231">
        <v>65171668</v>
      </c>
      <c r="D231">
        <v>37064876</v>
      </c>
      <c r="E231">
        <v>108</v>
      </c>
      <c r="F231">
        <v>1</v>
      </c>
      <c r="G231">
        <v>1</v>
      </c>
      <c r="H231">
        <v>1</v>
      </c>
      <c r="I231" t="s">
        <v>510</v>
      </c>
      <c r="J231" t="s">
        <v>3</v>
      </c>
      <c r="K231" t="s">
        <v>511</v>
      </c>
      <c r="L231">
        <v>1191</v>
      </c>
      <c r="N231">
        <v>1013</v>
      </c>
      <c r="O231" t="s">
        <v>509</v>
      </c>
      <c r="P231" t="s">
        <v>509</v>
      </c>
      <c r="Q231">
        <v>1</v>
      </c>
      <c r="X231">
        <v>0.2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2</v>
      </c>
      <c r="AF231" t="s">
        <v>3</v>
      </c>
      <c r="AG231">
        <v>0.2</v>
      </c>
      <c r="AH231">
        <v>2</v>
      </c>
      <c r="AI231">
        <v>65171670</v>
      </c>
      <c r="AJ231">
        <v>229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ROW(Source!A166)</f>
        <v>166</v>
      </c>
      <c r="B232">
        <v>65171680</v>
      </c>
      <c r="C232">
        <v>65171668</v>
      </c>
      <c r="D232">
        <v>56571417</v>
      </c>
      <c r="E232">
        <v>1</v>
      </c>
      <c r="F232">
        <v>1</v>
      </c>
      <c r="G232">
        <v>1</v>
      </c>
      <c r="H232">
        <v>2</v>
      </c>
      <c r="I232" t="s">
        <v>512</v>
      </c>
      <c r="J232" t="s">
        <v>513</v>
      </c>
      <c r="K232" t="s">
        <v>514</v>
      </c>
      <c r="L232">
        <v>1368</v>
      </c>
      <c r="N232">
        <v>1011</v>
      </c>
      <c r="O232" t="s">
        <v>515</v>
      </c>
      <c r="P232" t="s">
        <v>515</v>
      </c>
      <c r="Q232">
        <v>1</v>
      </c>
      <c r="X232">
        <v>0.1</v>
      </c>
      <c r="Y232">
        <v>0</v>
      </c>
      <c r="Z232">
        <v>1551.19</v>
      </c>
      <c r="AA232">
        <v>658.94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0.1</v>
      </c>
      <c r="AH232">
        <v>2</v>
      </c>
      <c r="AI232">
        <v>65171671</v>
      </c>
      <c r="AJ232">
        <v>230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ROW(Source!A166)</f>
        <v>166</v>
      </c>
      <c r="B233">
        <v>65171681</v>
      </c>
      <c r="C233">
        <v>65171668</v>
      </c>
      <c r="D233">
        <v>56572833</v>
      </c>
      <c r="E233">
        <v>1</v>
      </c>
      <c r="F233">
        <v>1</v>
      </c>
      <c r="G233">
        <v>1</v>
      </c>
      <c r="H233">
        <v>2</v>
      </c>
      <c r="I233" t="s">
        <v>520</v>
      </c>
      <c r="J233" t="s">
        <v>521</v>
      </c>
      <c r="K233" t="s">
        <v>522</v>
      </c>
      <c r="L233">
        <v>1368</v>
      </c>
      <c r="N233">
        <v>1011</v>
      </c>
      <c r="O233" t="s">
        <v>515</v>
      </c>
      <c r="P233" t="s">
        <v>515</v>
      </c>
      <c r="Q233">
        <v>1</v>
      </c>
      <c r="X233">
        <v>0.1</v>
      </c>
      <c r="Y233">
        <v>0</v>
      </c>
      <c r="Z233">
        <v>477.92</v>
      </c>
      <c r="AA233">
        <v>490.55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0.1</v>
      </c>
      <c r="AH233">
        <v>2</v>
      </c>
      <c r="AI233">
        <v>65171672</v>
      </c>
      <c r="AJ233">
        <v>231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ROW(Source!A166)</f>
        <v>166</v>
      </c>
      <c r="B234">
        <v>65171682</v>
      </c>
      <c r="C234">
        <v>65171668</v>
      </c>
      <c r="D234">
        <v>56573153</v>
      </c>
      <c r="E234">
        <v>1</v>
      </c>
      <c r="F234">
        <v>1</v>
      </c>
      <c r="G234">
        <v>1</v>
      </c>
      <c r="H234">
        <v>2</v>
      </c>
      <c r="I234" t="s">
        <v>655</v>
      </c>
      <c r="J234" t="s">
        <v>656</v>
      </c>
      <c r="K234" t="s">
        <v>657</v>
      </c>
      <c r="L234">
        <v>1368</v>
      </c>
      <c r="N234">
        <v>1011</v>
      </c>
      <c r="O234" t="s">
        <v>515</v>
      </c>
      <c r="P234" t="s">
        <v>515</v>
      </c>
      <c r="Q234">
        <v>1</v>
      </c>
      <c r="X234">
        <v>0.16</v>
      </c>
      <c r="Y234">
        <v>0</v>
      </c>
      <c r="Z234">
        <v>26.32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0.16</v>
      </c>
      <c r="AH234">
        <v>2</v>
      </c>
      <c r="AI234">
        <v>65171673</v>
      </c>
      <c r="AJ234">
        <v>232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ROW(Source!A166)</f>
        <v>166</v>
      </c>
      <c r="B235">
        <v>65171683</v>
      </c>
      <c r="C235">
        <v>65171668</v>
      </c>
      <c r="D235">
        <v>56592838</v>
      </c>
      <c r="E235">
        <v>1</v>
      </c>
      <c r="F235">
        <v>1</v>
      </c>
      <c r="G235">
        <v>1</v>
      </c>
      <c r="H235">
        <v>3</v>
      </c>
      <c r="I235" t="s">
        <v>661</v>
      </c>
      <c r="J235" t="s">
        <v>662</v>
      </c>
      <c r="K235" t="s">
        <v>663</v>
      </c>
      <c r="L235">
        <v>1348</v>
      </c>
      <c r="N235">
        <v>1009</v>
      </c>
      <c r="O235" t="s">
        <v>94</v>
      </c>
      <c r="P235" t="s">
        <v>94</v>
      </c>
      <c r="Q235">
        <v>1000</v>
      </c>
      <c r="X235">
        <v>3.0000000000000001E-3</v>
      </c>
      <c r="Y235">
        <v>70310.45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3.0000000000000001E-3</v>
      </c>
      <c r="AH235">
        <v>2</v>
      </c>
      <c r="AI235">
        <v>65171674</v>
      </c>
      <c r="AJ235">
        <v>233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ROW(Source!A166)</f>
        <v>166</v>
      </c>
      <c r="B236">
        <v>65171684</v>
      </c>
      <c r="C236">
        <v>65171668</v>
      </c>
      <c r="D236">
        <v>56610084</v>
      </c>
      <c r="E236">
        <v>1</v>
      </c>
      <c r="F236">
        <v>1</v>
      </c>
      <c r="G236">
        <v>1</v>
      </c>
      <c r="H236">
        <v>3</v>
      </c>
      <c r="I236" t="s">
        <v>723</v>
      </c>
      <c r="J236" t="s">
        <v>724</v>
      </c>
      <c r="K236" t="s">
        <v>725</v>
      </c>
      <c r="L236">
        <v>1346</v>
      </c>
      <c r="N236">
        <v>1009</v>
      </c>
      <c r="O236" t="s">
        <v>549</v>
      </c>
      <c r="P236" t="s">
        <v>549</v>
      </c>
      <c r="Q236">
        <v>1</v>
      </c>
      <c r="X236">
        <v>0.8</v>
      </c>
      <c r="Y236">
        <v>79.88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0.8</v>
      </c>
      <c r="AH236">
        <v>2</v>
      </c>
      <c r="AI236">
        <v>65171675</v>
      </c>
      <c r="AJ236">
        <v>234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ROW(Source!A166)</f>
        <v>166</v>
      </c>
      <c r="B237">
        <v>65171685</v>
      </c>
      <c r="C237">
        <v>65171668</v>
      </c>
      <c r="D237">
        <v>56628169</v>
      </c>
      <c r="E237">
        <v>1</v>
      </c>
      <c r="F237">
        <v>1</v>
      </c>
      <c r="G237">
        <v>1</v>
      </c>
      <c r="H237">
        <v>3</v>
      </c>
      <c r="I237" t="s">
        <v>726</v>
      </c>
      <c r="J237" t="s">
        <v>727</v>
      </c>
      <c r="K237" t="s">
        <v>728</v>
      </c>
      <c r="L237">
        <v>1425</v>
      </c>
      <c r="N237">
        <v>1013</v>
      </c>
      <c r="O237" t="s">
        <v>76</v>
      </c>
      <c r="P237" t="s">
        <v>76</v>
      </c>
      <c r="Q237">
        <v>1</v>
      </c>
      <c r="X237">
        <v>1.02</v>
      </c>
      <c r="Y237">
        <v>896.51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1.02</v>
      </c>
      <c r="AH237">
        <v>2</v>
      </c>
      <c r="AI237">
        <v>65171676</v>
      </c>
      <c r="AJ237">
        <v>235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ROW(Source!A166)</f>
        <v>166</v>
      </c>
      <c r="B238">
        <v>65171686</v>
      </c>
      <c r="C238">
        <v>65171668</v>
      </c>
      <c r="D238">
        <v>56223463</v>
      </c>
      <c r="E238">
        <v>108</v>
      </c>
      <c r="F238">
        <v>1</v>
      </c>
      <c r="G238">
        <v>1</v>
      </c>
      <c r="H238">
        <v>3</v>
      </c>
      <c r="I238" t="s">
        <v>667</v>
      </c>
      <c r="J238" t="s">
        <v>3</v>
      </c>
      <c r="K238" t="s">
        <v>668</v>
      </c>
      <c r="L238">
        <v>3277935</v>
      </c>
      <c r="N238">
        <v>1013</v>
      </c>
      <c r="O238" t="s">
        <v>669</v>
      </c>
      <c r="P238" t="s">
        <v>669</v>
      </c>
      <c r="Q238">
        <v>1</v>
      </c>
      <c r="X238">
        <v>2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 t="s">
        <v>3</v>
      </c>
      <c r="AG238">
        <v>2</v>
      </c>
      <c r="AH238">
        <v>2</v>
      </c>
      <c r="AI238">
        <v>65171677</v>
      </c>
      <c r="AJ238">
        <v>236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ROW(Source!A167)</f>
        <v>167</v>
      </c>
      <c r="B239">
        <v>65171698</v>
      </c>
      <c r="C239">
        <v>65171687</v>
      </c>
      <c r="D239">
        <v>56217408</v>
      </c>
      <c r="E239">
        <v>108</v>
      </c>
      <c r="F239">
        <v>1</v>
      </c>
      <c r="G239">
        <v>1</v>
      </c>
      <c r="H239">
        <v>1</v>
      </c>
      <c r="I239" t="s">
        <v>697</v>
      </c>
      <c r="J239" t="s">
        <v>3</v>
      </c>
      <c r="K239" t="s">
        <v>698</v>
      </c>
      <c r="L239">
        <v>1369</v>
      </c>
      <c r="N239">
        <v>1013</v>
      </c>
      <c r="O239" t="s">
        <v>699</v>
      </c>
      <c r="P239" t="s">
        <v>699</v>
      </c>
      <c r="Q239">
        <v>1</v>
      </c>
      <c r="X239">
        <v>0.91</v>
      </c>
      <c r="Y239">
        <v>0</v>
      </c>
      <c r="Z239">
        <v>0</v>
      </c>
      <c r="AA239">
        <v>0</v>
      </c>
      <c r="AB239">
        <v>399.03</v>
      </c>
      <c r="AC239">
        <v>0</v>
      </c>
      <c r="AD239">
        <v>1</v>
      </c>
      <c r="AE239">
        <v>1</v>
      </c>
      <c r="AF239" t="s">
        <v>3</v>
      </c>
      <c r="AG239">
        <v>0.91</v>
      </c>
      <c r="AH239">
        <v>2</v>
      </c>
      <c r="AI239">
        <v>65171688</v>
      </c>
      <c r="AJ239">
        <v>237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ROW(Source!A167)</f>
        <v>167</v>
      </c>
      <c r="B240">
        <v>65171699</v>
      </c>
      <c r="C240">
        <v>65171687</v>
      </c>
      <c r="D240">
        <v>56217411</v>
      </c>
      <c r="E240">
        <v>108</v>
      </c>
      <c r="F240">
        <v>1</v>
      </c>
      <c r="G240">
        <v>1</v>
      </c>
      <c r="H240">
        <v>1</v>
      </c>
      <c r="I240" t="s">
        <v>700</v>
      </c>
      <c r="J240" t="s">
        <v>3</v>
      </c>
      <c r="K240" t="s">
        <v>701</v>
      </c>
      <c r="L240">
        <v>1369</v>
      </c>
      <c r="N240">
        <v>1013</v>
      </c>
      <c r="O240" t="s">
        <v>699</v>
      </c>
      <c r="P240" t="s">
        <v>699</v>
      </c>
      <c r="Q240">
        <v>1</v>
      </c>
      <c r="X240">
        <v>38.89</v>
      </c>
      <c r="Y240">
        <v>0</v>
      </c>
      <c r="Z240">
        <v>0</v>
      </c>
      <c r="AA240">
        <v>0</v>
      </c>
      <c r="AB240">
        <v>435.64</v>
      </c>
      <c r="AC240">
        <v>0</v>
      </c>
      <c r="AD240">
        <v>1</v>
      </c>
      <c r="AE240">
        <v>1</v>
      </c>
      <c r="AF240" t="s">
        <v>3</v>
      </c>
      <c r="AG240">
        <v>38.89</v>
      </c>
      <c r="AH240">
        <v>2</v>
      </c>
      <c r="AI240">
        <v>65171689</v>
      </c>
      <c r="AJ240">
        <v>238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ROW(Source!A167)</f>
        <v>167</v>
      </c>
      <c r="B241">
        <v>65171700</v>
      </c>
      <c r="C241">
        <v>65171687</v>
      </c>
      <c r="D241">
        <v>56217415</v>
      </c>
      <c r="E241">
        <v>108</v>
      </c>
      <c r="F241">
        <v>1</v>
      </c>
      <c r="G241">
        <v>1</v>
      </c>
      <c r="H241">
        <v>1</v>
      </c>
      <c r="I241" t="s">
        <v>702</v>
      </c>
      <c r="J241" t="s">
        <v>3</v>
      </c>
      <c r="K241" t="s">
        <v>703</v>
      </c>
      <c r="L241">
        <v>1369</v>
      </c>
      <c r="N241">
        <v>1013</v>
      </c>
      <c r="O241" t="s">
        <v>699</v>
      </c>
      <c r="P241" t="s">
        <v>699</v>
      </c>
      <c r="Q241">
        <v>1</v>
      </c>
      <c r="X241">
        <v>19.239999999999998</v>
      </c>
      <c r="Y241">
        <v>0</v>
      </c>
      <c r="Z241">
        <v>0</v>
      </c>
      <c r="AA241">
        <v>0</v>
      </c>
      <c r="AB241">
        <v>490.55</v>
      </c>
      <c r="AC241">
        <v>0</v>
      </c>
      <c r="AD241">
        <v>1</v>
      </c>
      <c r="AE241">
        <v>1</v>
      </c>
      <c r="AF241" t="s">
        <v>3</v>
      </c>
      <c r="AG241">
        <v>19.239999999999998</v>
      </c>
      <c r="AH241">
        <v>2</v>
      </c>
      <c r="AI241">
        <v>65171690</v>
      </c>
      <c r="AJ241">
        <v>239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ROW(Source!A167)</f>
        <v>167</v>
      </c>
      <c r="B242">
        <v>65171701</v>
      </c>
      <c r="C242">
        <v>65171687</v>
      </c>
      <c r="D242">
        <v>56217418</v>
      </c>
      <c r="E242">
        <v>108</v>
      </c>
      <c r="F242">
        <v>1</v>
      </c>
      <c r="G242">
        <v>1</v>
      </c>
      <c r="H242">
        <v>1</v>
      </c>
      <c r="I242" t="s">
        <v>704</v>
      </c>
      <c r="J242" t="s">
        <v>3</v>
      </c>
      <c r="K242" t="s">
        <v>705</v>
      </c>
      <c r="L242">
        <v>1369</v>
      </c>
      <c r="N242">
        <v>1013</v>
      </c>
      <c r="O242" t="s">
        <v>699</v>
      </c>
      <c r="P242" t="s">
        <v>699</v>
      </c>
      <c r="Q242">
        <v>1</v>
      </c>
      <c r="X242">
        <v>19.239999999999998</v>
      </c>
      <c r="Y242">
        <v>0</v>
      </c>
      <c r="Z242">
        <v>0</v>
      </c>
      <c r="AA242">
        <v>0</v>
      </c>
      <c r="AB242">
        <v>563.76</v>
      </c>
      <c r="AC242">
        <v>0</v>
      </c>
      <c r="AD242">
        <v>1</v>
      </c>
      <c r="AE242">
        <v>1</v>
      </c>
      <c r="AF242" t="s">
        <v>3</v>
      </c>
      <c r="AG242">
        <v>19.239999999999998</v>
      </c>
      <c r="AH242">
        <v>2</v>
      </c>
      <c r="AI242">
        <v>65171691</v>
      </c>
      <c r="AJ242">
        <v>240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ROW(Source!A167)</f>
        <v>167</v>
      </c>
      <c r="B243">
        <v>65171702</v>
      </c>
      <c r="C243">
        <v>65171687</v>
      </c>
      <c r="D243">
        <v>37064876</v>
      </c>
      <c r="E243">
        <v>108</v>
      </c>
      <c r="F243">
        <v>1</v>
      </c>
      <c r="G243">
        <v>1</v>
      </c>
      <c r="H243">
        <v>1</v>
      </c>
      <c r="I243" t="s">
        <v>510</v>
      </c>
      <c r="J243" t="s">
        <v>3</v>
      </c>
      <c r="K243" t="s">
        <v>511</v>
      </c>
      <c r="L243">
        <v>1191</v>
      </c>
      <c r="N243">
        <v>1013</v>
      </c>
      <c r="O243" t="s">
        <v>509</v>
      </c>
      <c r="P243" t="s">
        <v>509</v>
      </c>
      <c r="Q243">
        <v>1</v>
      </c>
      <c r="X243">
        <v>22.24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2</v>
      </c>
      <c r="AF243" t="s">
        <v>3</v>
      </c>
      <c r="AG243">
        <v>22.24</v>
      </c>
      <c r="AH243">
        <v>2</v>
      </c>
      <c r="AI243">
        <v>65171692</v>
      </c>
      <c r="AJ243">
        <v>241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ROW(Source!A167)</f>
        <v>167</v>
      </c>
      <c r="B244">
        <v>65171703</v>
      </c>
      <c r="C244">
        <v>65171687</v>
      </c>
      <c r="D244">
        <v>56571417</v>
      </c>
      <c r="E244">
        <v>1</v>
      </c>
      <c r="F244">
        <v>1</v>
      </c>
      <c r="G244">
        <v>1</v>
      </c>
      <c r="H244">
        <v>2</v>
      </c>
      <c r="I244" t="s">
        <v>512</v>
      </c>
      <c r="J244" t="s">
        <v>513</v>
      </c>
      <c r="K244" t="s">
        <v>514</v>
      </c>
      <c r="L244">
        <v>1368</v>
      </c>
      <c r="N244">
        <v>1011</v>
      </c>
      <c r="O244" t="s">
        <v>515</v>
      </c>
      <c r="P244" t="s">
        <v>515</v>
      </c>
      <c r="Q244">
        <v>1</v>
      </c>
      <c r="X244">
        <v>0.64</v>
      </c>
      <c r="Y244">
        <v>0</v>
      </c>
      <c r="Z244">
        <v>1551.19</v>
      </c>
      <c r="AA244">
        <v>658.94</v>
      </c>
      <c r="AB244">
        <v>0</v>
      </c>
      <c r="AC244">
        <v>0</v>
      </c>
      <c r="AD244">
        <v>1</v>
      </c>
      <c r="AE244">
        <v>0</v>
      </c>
      <c r="AF244" t="s">
        <v>3</v>
      </c>
      <c r="AG244">
        <v>0.64</v>
      </c>
      <c r="AH244">
        <v>2</v>
      </c>
      <c r="AI244">
        <v>65171693</v>
      </c>
      <c r="AJ244">
        <v>242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ROW(Source!A167)</f>
        <v>167</v>
      </c>
      <c r="B245">
        <v>65171704</v>
      </c>
      <c r="C245">
        <v>65171687</v>
      </c>
      <c r="D245">
        <v>56571637</v>
      </c>
      <c r="E245">
        <v>1</v>
      </c>
      <c r="F245">
        <v>1</v>
      </c>
      <c r="G245">
        <v>1</v>
      </c>
      <c r="H245">
        <v>2</v>
      </c>
      <c r="I245" t="s">
        <v>706</v>
      </c>
      <c r="J245" t="s">
        <v>707</v>
      </c>
      <c r="K245" t="s">
        <v>708</v>
      </c>
      <c r="L245">
        <v>1368</v>
      </c>
      <c r="N245">
        <v>1011</v>
      </c>
      <c r="O245" t="s">
        <v>515</v>
      </c>
      <c r="P245" t="s">
        <v>515</v>
      </c>
      <c r="Q245">
        <v>1</v>
      </c>
      <c r="X245">
        <v>2.4</v>
      </c>
      <c r="Y245">
        <v>0</v>
      </c>
      <c r="Z245">
        <v>15.12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3</v>
      </c>
      <c r="AG245">
        <v>2.4</v>
      </c>
      <c r="AH245">
        <v>2</v>
      </c>
      <c r="AI245">
        <v>65171694</v>
      </c>
      <c r="AJ245">
        <v>243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ROW(Source!A167)</f>
        <v>167</v>
      </c>
      <c r="B246">
        <v>65171705</v>
      </c>
      <c r="C246">
        <v>65171687</v>
      </c>
      <c r="D246">
        <v>56571702</v>
      </c>
      <c r="E246">
        <v>1</v>
      </c>
      <c r="F246">
        <v>1</v>
      </c>
      <c r="G246">
        <v>1</v>
      </c>
      <c r="H246">
        <v>2</v>
      </c>
      <c r="I246" t="s">
        <v>709</v>
      </c>
      <c r="J246" t="s">
        <v>710</v>
      </c>
      <c r="K246" t="s">
        <v>711</v>
      </c>
      <c r="L246">
        <v>1368</v>
      </c>
      <c r="N246">
        <v>1011</v>
      </c>
      <c r="O246" t="s">
        <v>515</v>
      </c>
      <c r="P246" t="s">
        <v>515</v>
      </c>
      <c r="Q246">
        <v>1</v>
      </c>
      <c r="X246">
        <v>18.68</v>
      </c>
      <c r="Y246">
        <v>0</v>
      </c>
      <c r="Z246">
        <v>346.73</v>
      </c>
      <c r="AA246">
        <v>490.55</v>
      </c>
      <c r="AB246">
        <v>0</v>
      </c>
      <c r="AC246">
        <v>0</v>
      </c>
      <c r="AD246">
        <v>1</v>
      </c>
      <c r="AE246">
        <v>0</v>
      </c>
      <c r="AF246" t="s">
        <v>3</v>
      </c>
      <c r="AG246">
        <v>18.68</v>
      </c>
      <c r="AH246">
        <v>2</v>
      </c>
      <c r="AI246">
        <v>65171695</v>
      </c>
      <c r="AJ246">
        <v>244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ROW(Source!A167)</f>
        <v>167</v>
      </c>
      <c r="B247">
        <v>65171706</v>
      </c>
      <c r="C247">
        <v>65171687</v>
      </c>
      <c r="D247">
        <v>56572833</v>
      </c>
      <c r="E247">
        <v>1</v>
      </c>
      <c r="F247">
        <v>1</v>
      </c>
      <c r="G247">
        <v>1</v>
      </c>
      <c r="H247">
        <v>2</v>
      </c>
      <c r="I247" t="s">
        <v>520</v>
      </c>
      <c r="J247" t="s">
        <v>521</v>
      </c>
      <c r="K247" t="s">
        <v>522</v>
      </c>
      <c r="L247">
        <v>1368</v>
      </c>
      <c r="N247">
        <v>1011</v>
      </c>
      <c r="O247" t="s">
        <v>515</v>
      </c>
      <c r="P247" t="s">
        <v>515</v>
      </c>
      <c r="Q247">
        <v>1</v>
      </c>
      <c r="X247">
        <v>0.52</v>
      </c>
      <c r="Y247">
        <v>0</v>
      </c>
      <c r="Z247">
        <v>477.92</v>
      </c>
      <c r="AA247">
        <v>490.55</v>
      </c>
      <c r="AB247">
        <v>0</v>
      </c>
      <c r="AC247">
        <v>0</v>
      </c>
      <c r="AD247">
        <v>1</v>
      </c>
      <c r="AE247">
        <v>0</v>
      </c>
      <c r="AF247" t="s">
        <v>3</v>
      </c>
      <c r="AG247">
        <v>0.52</v>
      </c>
      <c r="AH247">
        <v>2</v>
      </c>
      <c r="AI247">
        <v>65171696</v>
      </c>
      <c r="AJ247">
        <v>245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ROW(Source!A167)</f>
        <v>167</v>
      </c>
      <c r="B248">
        <v>65171707</v>
      </c>
      <c r="C248">
        <v>65171687</v>
      </c>
      <c r="D248">
        <v>56573157</v>
      </c>
      <c r="E248">
        <v>1</v>
      </c>
      <c r="F248">
        <v>1</v>
      </c>
      <c r="G248">
        <v>1</v>
      </c>
      <c r="H248">
        <v>2</v>
      </c>
      <c r="I248" t="s">
        <v>712</v>
      </c>
      <c r="J248" t="s">
        <v>713</v>
      </c>
      <c r="K248" t="s">
        <v>714</v>
      </c>
      <c r="L248">
        <v>1368</v>
      </c>
      <c r="N248">
        <v>1011</v>
      </c>
      <c r="O248" t="s">
        <v>515</v>
      </c>
      <c r="P248" t="s">
        <v>515</v>
      </c>
      <c r="Q248">
        <v>1</v>
      </c>
      <c r="X248">
        <v>2.4</v>
      </c>
      <c r="Y248">
        <v>0</v>
      </c>
      <c r="Z248">
        <v>176.5</v>
      </c>
      <c r="AA248">
        <v>490.55</v>
      </c>
      <c r="AB248">
        <v>0</v>
      </c>
      <c r="AC248">
        <v>0</v>
      </c>
      <c r="AD248">
        <v>1</v>
      </c>
      <c r="AE248">
        <v>0</v>
      </c>
      <c r="AF248" t="s">
        <v>3</v>
      </c>
      <c r="AG248">
        <v>2.4</v>
      </c>
      <c r="AH248">
        <v>2</v>
      </c>
      <c r="AI248">
        <v>65171697</v>
      </c>
      <c r="AJ248">
        <v>246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ROW(Source!A167)</f>
        <v>167</v>
      </c>
      <c r="B249">
        <v>65171708</v>
      </c>
      <c r="C249">
        <v>65171687</v>
      </c>
      <c r="D249">
        <v>56222244</v>
      </c>
      <c r="E249">
        <v>108</v>
      </c>
      <c r="F249">
        <v>1</v>
      </c>
      <c r="G249">
        <v>1</v>
      </c>
      <c r="H249">
        <v>3</v>
      </c>
      <c r="I249" t="s">
        <v>767</v>
      </c>
      <c r="J249" t="s">
        <v>3</v>
      </c>
      <c r="K249" t="s">
        <v>768</v>
      </c>
      <c r="L249">
        <v>1371</v>
      </c>
      <c r="N249">
        <v>1013</v>
      </c>
      <c r="O249" t="s">
        <v>220</v>
      </c>
      <c r="P249" t="s">
        <v>220</v>
      </c>
      <c r="Q249">
        <v>1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1</v>
      </c>
      <c r="AD249">
        <v>0</v>
      </c>
      <c r="AE249">
        <v>0</v>
      </c>
      <c r="AF249" t="s">
        <v>3</v>
      </c>
      <c r="AG249">
        <v>0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ROW(Source!A167)</f>
        <v>167</v>
      </c>
      <c r="B250">
        <v>65171709</v>
      </c>
      <c r="C250">
        <v>65171687</v>
      </c>
      <c r="D250">
        <v>56222257</v>
      </c>
      <c r="E250">
        <v>108</v>
      </c>
      <c r="F250">
        <v>1</v>
      </c>
      <c r="G250">
        <v>1</v>
      </c>
      <c r="H250">
        <v>3</v>
      </c>
      <c r="I250" t="s">
        <v>769</v>
      </c>
      <c r="J250" t="s">
        <v>3</v>
      </c>
      <c r="K250" t="s">
        <v>770</v>
      </c>
      <c r="L250">
        <v>1371</v>
      </c>
      <c r="N250">
        <v>1013</v>
      </c>
      <c r="O250" t="s">
        <v>220</v>
      </c>
      <c r="P250" t="s">
        <v>220</v>
      </c>
      <c r="Q250">
        <v>1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1</v>
      </c>
      <c r="AD250">
        <v>0</v>
      </c>
      <c r="AE250">
        <v>0</v>
      </c>
      <c r="AF250" t="s">
        <v>3</v>
      </c>
      <c r="AG250">
        <v>0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ROW(Source!A167)</f>
        <v>167</v>
      </c>
      <c r="B251">
        <v>65171710</v>
      </c>
      <c r="C251">
        <v>65171687</v>
      </c>
      <c r="D251">
        <v>56222421</v>
      </c>
      <c r="E251">
        <v>108</v>
      </c>
      <c r="F251">
        <v>1</v>
      </c>
      <c r="G251">
        <v>1</v>
      </c>
      <c r="H251">
        <v>3</v>
      </c>
      <c r="I251" t="s">
        <v>771</v>
      </c>
      <c r="J251" t="s">
        <v>3</v>
      </c>
      <c r="K251" t="s">
        <v>772</v>
      </c>
      <c r="L251">
        <v>1477</v>
      </c>
      <c r="N251">
        <v>1013</v>
      </c>
      <c r="O251" t="s">
        <v>294</v>
      </c>
      <c r="P251" t="s">
        <v>296</v>
      </c>
      <c r="Q251">
        <v>1</v>
      </c>
      <c r="X251">
        <v>3.06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 t="s">
        <v>3</v>
      </c>
      <c r="AG251">
        <v>3.06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ROW(Source!A168)</f>
        <v>168</v>
      </c>
      <c r="B252">
        <v>65171717</v>
      </c>
      <c r="C252">
        <v>65171711</v>
      </c>
      <c r="D252">
        <v>37071037</v>
      </c>
      <c r="E252">
        <v>108</v>
      </c>
      <c r="F252">
        <v>1</v>
      </c>
      <c r="G252">
        <v>1</v>
      </c>
      <c r="H252">
        <v>1</v>
      </c>
      <c r="I252" t="s">
        <v>653</v>
      </c>
      <c r="J252" t="s">
        <v>3</v>
      </c>
      <c r="K252" t="s">
        <v>654</v>
      </c>
      <c r="L252">
        <v>1191</v>
      </c>
      <c r="N252">
        <v>1013</v>
      </c>
      <c r="O252" t="s">
        <v>509</v>
      </c>
      <c r="P252" t="s">
        <v>509</v>
      </c>
      <c r="Q252">
        <v>1</v>
      </c>
      <c r="X252">
        <v>0.4</v>
      </c>
      <c r="Y252">
        <v>0</v>
      </c>
      <c r="Z252">
        <v>0</v>
      </c>
      <c r="AA252">
        <v>0</v>
      </c>
      <c r="AB252">
        <v>490.55</v>
      </c>
      <c r="AC252">
        <v>0</v>
      </c>
      <c r="AD252">
        <v>1</v>
      </c>
      <c r="AE252">
        <v>1</v>
      </c>
      <c r="AF252" t="s">
        <v>3</v>
      </c>
      <c r="AG252">
        <v>0.4</v>
      </c>
      <c r="AH252">
        <v>2</v>
      </c>
      <c r="AI252">
        <v>65171712</v>
      </c>
      <c r="AJ252">
        <v>247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ROW(Source!A168)</f>
        <v>168</v>
      </c>
      <c r="B253">
        <v>65171718</v>
      </c>
      <c r="C253">
        <v>65171711</v>
      </c>
      <c r="D253">
        <v>37064876</v>
      </c>
      <c r="E253">
        <v>108</v>
      </c>
      <c r="F253">
        <v>1</v>
      </c>
      <c r="G253">
        <v>1</v>
      </c>
      <c r="H253">
        <v>1</v>
      </c>
      <c r="I253" t="s">
        <v>510</v>
      </c>
      <c r="J253" t="s">
        <v>3</v>
      </c>
      <c r="K253" t="s">
        <v>511</v>
      </c>
      <c r="L253">
        <v>1191</v>
      </c>
      <c r="N253">
        <v>1013</v>
      </c>
      <c r="O253" t="s">
        <v>509</v>
      </c>
      <c r="P253" t="s">
        <v>509</v>
      </c>
      <c r="Q253">
        <v>1</v>
      </c>
      <c r="X253">
        <v>0.01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2</v>
      </c>
      <c r="AF253" t="s">
        <v>3</v>
      </c>
      <c r="AG253">
        <v>0.01</v>
      </c>
      <c r="AH253">
        <v>2</v>
      </c>
      <c r="AI253">
        <v>65171713</v>
      </c>
      <c r="AJ253">
        <v>248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ROW(Source!A168)</f>
        <v>168</v>
      </c>
      <c r="B254">
        <v>65171719</v>
      </c>
      <c r="C254">
        <v>65171711</v>
      </c>
      <c r="D254">
        <v>56571417</v>
      </c>
      <c r="E254">
        <v>1</v>
      </c>
      <c r="F254">
        <v>1</v>
      </c>
      <c r="G254">
        <v>1</v>
      </c>
      <c r="H254">
        <v>2</v>
      </c>
      <c r="I254" t="s">
        <v>512</v>
      </c>
      <c r="J254" t="s">
        <v>513</v>
      </c>
      <c r="K254" t="s">
        <v>514</v>
      </c>
      <c r="L254">
        <v>1368</v>
      </c>
      <c r="N254">
        <v>1011</v>
      </c>
      <c r="O254" t="s">
        <v>515</v>
      </c>
      <c r="P254" t="s">
        <v>515</v>
      </c>
      <c r="Q254">
        <v>1</v>
      </c>
      <c r="X254">
        <v>7.0000000000000001E-3</v>
      </c>
      <c r="Y254">
        <v>0</v>
      </c>
      <c r="Z254">
        <v>1551.19</v>
      </c>
      <c r="AA254">
        <v>658.94</v>
      </c>
      <c r="AB254">
        <v>0</v>
      </c>
      <c r="AC254">
        <v>0</v>
      </c>
      <c r="AD254">
        <v>1</v>
      </c>
      <c r="AE254">
        <v>0</v>
      </c>
      <c r="AF254" t="s">
        <v>3</v>
      </c>
      <c r="AG254">
        <v>7.0000000000000001E-3</v>
      </c>
      <c r="AH254">
        <v>2</v>
      </c>
      <c r="AI254">
        <v>65171714</v>
      </c>
      <c r="AJ254">
        <v>249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ROW(Source!A168)</f>
        <v>168</v>
      </c>
      <c r="B255">
        <v>65171720</v>
      </c>
      <c r="C255">
        <v>65171711</v>
      </c>
      <c r="D255">
        <v>56572833</v>
      </c>
      <c r="E255">
        <v>1</v>
      </c>
      <c r="F255">
        <v>1</v>
      </c>
      <c r="G255">
        <v>1</v>
      </c>
      <c r="H255">
        <v>2</v>
      </c>
      <c r="I255" t="s">
        <v>520</v>
      </c>
      <c r="J255" t="s">
        <v>521</v>
      </c>
      <c r="K255" t="s">
        <v>522</v>
      </c>
      <c r="L255">
        <v>1368</v>
      </c>
      <c r="N255">
        <v>1011</v>
      </c>
      <c r="O255" t="s">
        <v>515</v>
      </c>
      <c r="P255" t="s">
        <v>515</v>
      </c>
      <c r="Q255">
        <v>1</v>
      </c>
      <c r="X255">
        <v>7.0000000000000001E-3</v>
      </c>
      <c r="Y255">
        <v>0</v>
      </c>
      <c r="Z255">
        <v>477.92</v>
      </c>
      <c r="AA255">
        <v>490.55</v>
      </c>
      <c r="AB255">
        <v>0</v>
      </c>
      <c r="AC255">
        <v>0</v>
      </c>
      <c r="AD255">
        <v>1</v>
      </c>
      <c r="AE255">
        <v>0</v>
      </c>
      <c r="AF255" t="s">
        <v>3</v>
      </c>
      <c r="AG255">
        <v>7.0000000000000001E-3</v>
      </c>
      <c r="AH255">
        <v>2</v>
      </c>
      <c r="AI255">
        <v>65171715</v>
      </c>
      <c r="AJ255">
        <v>250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ROW(Source!A168)</f>
        <v>168</v>
      </c>
      <c r="B256">
        <v>65171721</v>
      </c>
      <c r="C256">
        <v>65171711</v>
      </c>
      <c r="D256">
        <v>56580368</v>
      </c>
      <c r="E256">
        <v>1</v>
      </c>
      <c r="F256">
        <v>1</v>
      </c>
      <c r="G256">
        <v>1</v>
      </c>
      <c r="H256">
        <v>3</v>
      </c>
      <c r="I256" t="s">
        <v>553</v>
      </c>
      <c r="J256" t="s">
        <v>554</v>
      </c>
      <c r="K256" t="s">
        <v>555</v>
      </c>
      <c r="L256">
        <v>1346</v>
      </c>
      <c r="N256">
        <v>1009</v>
      </c>
      <c r="O256" t="s">
        <v>549</v>
      </c>
      <c r="P256" t="s">
        <v>549</v>
      </c>
      <c r="Q256">
        <v>1</v>
      </c>
      <c r="X256">
        <v>0.08</v>
      </c>
      <c r="Y256">
        <v>174.93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0.08</v>
      </c>
      <c r="AH256">
        <v>2</v>
      </c>
      <c r="AI256">
        <v>65171716</v>
      </c>
      <c r="AJ256">
        <v>251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ROW(Source!A168)</f>
        <v>168</v>
      </c>
      <c r="B257">
        <v>65171722</v>
      </c>
      <c r="C257">
        <v>65171711</v>
      </c>
      <c r="D257">
        <v>56223463</v>
      </c>
      <c r="E257">
        <v>108</v>
      </c>
      <c r="F257">
        <v>1</v>
      </c>
      <c r="G257">
        <v>1</v>
      </c>
      <c r="H257">
        <v>3</v>
      </c>
      <c r="I257" t="s">
        <v>667</v>
      </c>
      <c r="J257" t="s">
        <v>3</v>
      </c>
      <c r="K257" t="s">
        <v>668</v>
      </c>
      <c r="L257">
        <v>3277935</v>
      </c>
      <c r="N257">
        <v>1013</v>
      </c>
      <c r="O257" t="s">
        <v>669</v>
      </c>
      <c r="P257" t="s">
        <v>669</v>
      </c>
      <c r="Q257">
        <v>1</v>
      </c>
      <c r="X257">
        <v>2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 t="s">
        <v>3</v>
      </c>
      <c r="AG257">
        <v>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ROW(Source!A169)</f>
        <v>169</v>
      </c>
      <c r="B258">
        <v>65171738</v>
      </c>
      <c r="C258">
        <v>65171723</v>
      </c>
      <c r="D258">
        <v>37080781</v>
      </c>
      <c r="E258">
        <v>108</v>
      </c>
      <c r="F258">
        <v>1</v>
      </c>
      <c r="G258">
        <v>1</v>
      </c>
      <c r="H258">
        <v>1</v>
      </c>
      <c r="I258" t="s">
        <v>729</v>
      </c>
      <c r="J258" t="s">
        <v>3</v>
      </c>
      <c r="K258" t="s">
        <v>730</v>
      </c>
      <c r="L258">
        <v>1191</v>
      </c>
      <c r="N258">
        <v>1013</v>
      </c>
      <c r="O258" t="s">
        <v>509</v>
      </c>
      <c r="P258" t="s">
        <v>509</v>
      </c>
      <c r="Q258">
        <v>1</v>
      </c>
      <c r="X258">
        <v>70</v>
      </c>
      <c r="Y258">
        <v>0</v>
      </c>
      <c r="Z258">
        <v>0</v>
      </c>
      <c r="AA258">
        <v>0</v>
      </c>
      <c r="AB258">
        <v>505.19</v>
      </c>
      <c r="AC258">
        <v>0</v>
      </c>
      <c r="AD258">
        <v>1</v>
      </c>
      <c r="AE258">
        <v>1</v>
      </c>
      <c r="AF258" t="s">
        <v>3</v>
      </c>
      <c r="AG258">
        <v>70</v>
      </c>
      <c r="AH258">
        <v>2</v>
      </c>
      <c r="AI258">
        <v>65171724</v>
      </c>
      <c r="AJ258">
        <v>252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ROW(Source!A169)</f>
        <v>169</v>
      </c>
      <c r="B259">
        <v>65171739</v>
      </c>
      <c r="C259">
        <v>65171723</v>
      </c>
      <c r="D259">
        <v>37064876</v>
      </c>
      <c r="E259">
        <v>108</v>
      </c>
      <c r="F259">
        <v>1</v>
      </c>
      <c r="G259">
        <v>1</v>
      </c>
      <c r="H259">
        <v>1</v>
      </c>
      <c r="I259" t="s">
        <v>510</v>
      </c>
      <c r="J259" t="s">
        <v>3</v>
      </c>
      <c r="K259" t="s">
        <v>511</v>
      </c>
      <c r="L259">
        <v>1191</v>
      </c>
      <c r="N259">
        <v>1013</v>
      </c>
      <c r="O259" t="s">
        <v>509</v>
      </c>
      <c r="P259" t="s">
        <v>509</v>
      </c>
      <c r="Q259">
        <v>1</v>
      </c>
      <c r="X259">
        <v>0.08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2</v>
      </c>
      <c r="AF259" t="s">
        <v>3</v>
      </c>
      <c r="AG259">
        <v>0.08</v>
      </c>
      <c r="AH259">
        <v>2</v>
      </c>
      <c r="AI259">
        <v>65171725</v>
      </c>
      <c r="AJ259">
        <v>253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ROW(Source!A169)</f>
        <v>169</v>
      </c>
      <c r="B260">
        <v>65171740</v>
      </c>
      <c r="C260">
        <v>65171723</v>
      </c>
      <c r="D260">
        <v>56571417</v>
      </c>
      <c r="E260">
        <v>1</v>
      </c>
      <c r="F260">
        <v>1</v>
      </c>
      <c r="G260">
        <v>1</v>
      </c>
      <c r="H260">
        <v>2</v>
      </c>
      <c r="I260" t="s">
        <v>512</v>
      </c>
      <c r="J260" t="s">
        <v>513</v>
      </c>
      <c r="K260" t="s">
        <v>514</v>
      </c>
      <c r="L260">
        <v>1368</v>
      </c>
      <c r="N260">
        <v>1011</v>
      </c>
      <c r="O260" t="s">
        <v>515</v>
      </c>
      <c r="P260" t="s">
        <v>515</v>
      </c>
      <c r="Q260">
        <v>1</v>
      </c>
      <c r="X260">
        <v>0.04</v>
      </c>
      <c r="Y260">
        <v>0</v>
      </c>
      <c r="Z260">
        <v>1551.19</v>
      </c>
      <c r="AA260">
        <v>658.94</v>
      </c>
      <c r="AB260">
        <v>0</v>
      </c>
      <c r="AC260">
        <v>0</v>
      </c>
      <c r="AD260">
        <v>1</v>
      </c>
      <c r="AE260">
        <v>0</v>
      </c>
      <c r="AF260" t="s">
        <v>3</v>
      </c>
      <c r="AG260">
        <v>0.04</v>
      </c>
      <c r="AH260">
        <v>2</v>
      </c>
      <c r="AI260">
        <v>65171726</v>
      </c>
      <c r="AJ260">
        <v>254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ROW(Source!A169)</f>
        <v>169</v>
      </c>
      <c r="B261">
        <v>65171741</v>
      </c>
      <c r="C261">
        <v>65171723</v>
      </c>
      <c r="D261">
        <v>56572833</v>
      </c>
      <c r="E261">
        <v>1</v>
      </c>
      <c r="F261">
        <v>1</v>
      </c>
      <c r="G261">
        <v>1</v>
      </c>
      <c r="H261">
        <v>2</v>
      </c>
      <c r="I261" t="s">
        <v>520</v>
      </c>
      <c r="J261" t="s">
        <v>521</v>
      </c>
      <c r="K261" t="s">
        <v>522</v>
      </c>
      <c r="L261">
        <v>1368</v>
      </c>
      <c r="N261">
        <v>1011</v>
      </c>
      <c r="O261" t="s">
        <v>515</v>
      </c>
      <c r="P261" t="s">
        <v>515</v>
      </c>
      <c r="Q261">
        <v>1</v>
      </c>
      <c r="X261">
        <v>0.04</v>
      </c>
      <c r="Y261">
        <v>0</v>
      </c>
      <c r="Z261">
        <v>477.92</v>
      </c>
      <c r="AA261">
        <v>490.55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0.04</v>
      </c>
      <c r="AH261">
        <v>2</v>
      </c>
      <c r="AI261">
        <v>65171727</v>
      </c>
      <c r="AJ261">
        <v>255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ROW(Source!A169)</f>
        <v>169</v>
      </c>
      <c r="B262">
        <v>65171742</v>
      </c>
      <c r="C262">
        <v>65171723</v>
      </c>
      <c r="D262">
        <v>56573153</v>
      </c>
      <c r="E262">
        <v>1</v>
      </c>
      <c r="F262">
        <v>1</v>
      </c>
      <c r="G262">
        <v>1</v>
      </c>
      <c r="H262">
        <v>2</v>
      </c>
      <c r="I262" t="s">
        <v>655</v>
      </c>
      <c r="J262" t="s">
        <v>656</v>
      </c>
      <c r="K262" t="s">
        <v>657</v>
      </c>
      <c r="L262">
        <v>1368</v>
      </c>
      <c r="N262">
        <v>1011</v>
      </c>
      <c r="O262" t="s">
        <v>515</v>
      </c>
      <c r="P262" t="s">
        <v>515</v>
      </c>
      <c r="Q262">
        <v>1</v>
      </c>
      <c r="X262">
        <v>6.83</v>
      </c>
      <c r="Y262">
        <v>0</v>
      </c>
      <c r="Z262">
        <v>26.32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6.83</v>
      </c>
      <c r="AH262">
        <v>2</v>
      </c>
      <c r="AI262">
        <v>65171728</v>
      </c>
      <c r="AJ262">
        <v>256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ROW(Source!A169)</f>
        <v>169</v>
      </c>
      <c r="B263">
        <v>65171743</v>
      </c>
      <c r="C263">
        <v>65171723</v>
      </c>
      <c r="D263">
        <v>56573896</v>
      </c>
      <c r="E263">
        <v>1</v>
      </c>
      <c r="F263">
        <v>1</v>
      </c>
      <c r="G263">
        <v>1</v>
      </c>
      <c r="H263">
        <v>2</v>
      </c>
      <c r="I263" t="s">
        <v>731</v>
      </c>
      <c r="J263" t="s">
        <v>732</v>
      </c>
      <c r="K263" t="s">
        <v>733</v>
      </c>
      <c r="L263">
        <v>1368</v>
      </c>
      <c r="N263">
        <v>1011</v>
      </c>
      <c r="O263" t="s">
        <v>515</v>
      </c>
      <c r="P263" t="s">
        <v>515</v>
      </c>
      <c r="Q263">
        <v>1</v>
      </c>
      <c r="X263">
        <v>5.6</v>
      </c>
      <c r="Y263">
        <v>0</v>
      </c>
      <c r="Z263">
        <v>23.89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3</v>
      </c>
      <c r="AG263">
        <v>5.6</v>
      </c>
      <c r="AH263">
        <v>2</v>
      </c>
      <c r="AI263">
        <v>65171729</v>
      </c>
      <c r="AJ263">
        <v>257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ROW(Source!A169)</f>
        <v>169</v>
      </c>
      <c r="B264">
        <v>65171744</v>
      </c>
      <c r="C264">
        <v>65171723</v>
      </c>
      <c r="D264">
        <v>56574807</v>
      </c>
      <c r="E264">
        <v>1</v>
      </c>
      <c r="F264">
        <v>1</v>
      </c>
      <c r="G264">
        <v>1</v>
      </c>
      <c r="H264">
        <v>3</v>
      </c>
      <c r="I264" t="s">
        <v>734</v>
      </c>
      <c r="J264" t="s">
        <v>735</v>
      </c>
      <c r="K264" t="s">
        <v>736</v>
      </c>
      <c r="L264">
        <v>1346</v>
      </c>
      <c r="N264">
        <v>1009</v>
      </c>
      <c r="O264" t="s">
        <v>549</v>
      </c>
      <c r="P264" t="s">
        <v>549</v>
      </c>
      <c r="Q264">
        <v>1</v>
      </c>
      <c r="X264">
        <v>0.7</v>
      </c>
      <c r="Y264">
        <v>150.04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3</v>
      </c>
      <c r="AG264">
        <v>0.7</v>
      </c>
      <c r="AH264">
        <v>2</v>
      </c>
      <c r="AI264">
        <v>65171730</v>
      </c>
      <c r="AJ264">
        <v>258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ROW(Source!A169)</f>
        <v>169</v>
      </c>
      <c r="B265">
        <v>65171745</v>
      </c>
      <c r="C265">
        <v>65171723</v>
      </c>
      <c r="D265">
        <v>56577940</v>
      </c>
      <c r="E265">
        <v>1</v>
      </c>
      <c r="F265">
        <v>1</v>
      </c>
      <c r="G265">
        <v>1</v>
      </c>
      <c r="H265">
        <v>3</v>
      </c>
      <c r="I265" t="s">
        <v>737</v>
      </c>
      <c r="J265" t="s">
        <v>738</v>
      </c>
      <c r="K265" t="s">
        <v>739</v>
      </c>
      <c r="L265">
        <v>1346</v>
      </c>
      <c r="N265">
        <v>1009</v>
      </c>
      <c r="O265" t="s">
        <v>549</v>
      </c>
      <c r="P265" t="s">
        <v>549</v>
      </c>
      <c r="Q265">
        <v>1</v>
      </c>
      <c r="X265">
        <v>1.26</v>
      </c>
      <c r="Y265">
        <v>187.38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1.26</v>
      </c>
      <c r="AH265">
        <v>2</v>
      </c>
      <c r="AI265">
        <v>65171731</v>
      </c>
      <c r="AJ265">
        <v>259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ROW(Source!A169)</f>
        <v>169</v>
      </c>
      <c r="B266">
        <v>65171746</v>
      </c>
      <c r="C266">
        <v>65171723</v>
      </c>
      <c r="D266">
        <v>56577966</v>
      </c>
      <c r="E266">
        <v>1</v>
      </c>
      <c r="F266">
        <v>1</v>
      </c>
      <c r="G266">
        <v>1</v>
      </c>
      <c r="H266">
        <v>3</v>
      </c>
      <c r="I266" t="s">
        <v>740</v>
      </c>
      <c r="J266" t="s">
        <v>741</v>
      </c>
      <c r="K266" t="s">
        <v>742</v>
      </c>
      <c r="L266">
        <v>1383</v>
      </c>
      <c r="N266">
        <v>1013</v>
      </c>
      <c r="O266" t="s">
        <v>743</v>
      </c>
      <c r="P266" t="s">
        <v>743</v>
      </c>
      <c r="Q266">
        <v>1</v>
      </c>
      <c r="X266">
        <v>3.5760000000000001</v>
      </c>
      <c r="Y266">
        <v>5.56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</v>
      </c>
      <c r="AG266">
        <v>3.5760000000000001</v>
      </c>
      <c r="AH266">
        <v>2</v>
      </c>
      <c r="AI266">
        <v>65171732</v>
      </c>
      <c r="AJ266">
        <v>260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ROW(Source!A169)</f>
        <v>169</v>
      </c>
      <c r="B267">
        <v>65171747</v>
      </c>
      <c r="C267">
        <v>65171723</v>
      </c>
      <c r="D267">
        <v>56578257</v>
      </c>
      <c r="E267">
        <v>1</v>
      </c>
      <c r="F267">
        <v>1</v>
      </c>
      <c r="G267">
        <v>1</v>
      </c>
      <c r="H267">
        <v>3</v>
      </c>
      <c r="I267" t="s">
        <v>744</v>
      </c>
      <c r="J267" t="s">
        <v>745</v>
      </c>
      <c r="K267" t="s">
        <v>746</v>
      </c>
      <c r="L267">
        <v>1301</v>
      </c>
      <c r="N267">
        <v>1003</v>
      </c>
      <c r="O267" t="s">
        <v>747</v>
      </c>
      <c r="P267" t="s">
        <v>747</v>
      </c>
      <c r="Q267">
        <v>1</v>
      </c>
      <c r="X267">
        <v>81.67</v>
      </c>
      <c r="Y267">
        <v>5.87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</v>
      </c>
      <c r="AG267">
        <v>81.67</v>
      </c>
      <c r="AH267">
        <v>2</v>
      </c>
      <c r="AI267">
        <v>65171733</v>
      </c>
      <c r="AJ267">
        <v>261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ROW(Source!A169)</f>
        <v>169</v>
      </c>
      <c r="B268">
        <v>65171748</v>
      </c>
      <c r="C268">
        <v>65171723</v>
      </c>
      <c r="D268">
        <v>56579266</v>
      </c>
      <c r="E268">
        <v>1</v>
      </c>
      <c r="F268">
        <v>1</v>
      </c>
      <c r="G268">
        <v>1</v>
      </c>
      <c r="H268">
        <v>3</v>
      </c>
      <c r="I268" t="s">
        <v>550</v>
      </c>
      <c r="J268" t="s">
        <v>551</v>
      </c>
      <c r="K268" t="s">
        <v>552</v>
      </c>
      <c r="L268">
        <v>1346</v>
      </c>
      <c r="N268">
        <v>1009</v>
      </c>
      <c r="O268" t="s">
        <v>549</v>
      </c>
      <c r="P268" t="s">
        <v>549</v>
      </c>
      <c r="Q268">
        <v>1</v>
      </c>
      <c r="X268">
        <v>0.48</v>
      </c>
      <c r="Y268">
        <v>155.63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</v>
      </c>
      <c r="AG268">
        <v>0.48</v>
      </c>
      <c r="AH268">
        <v>2</v>
      </c>
      <c r="AI268">
        <v>65171734</v>
      </c>
      <c r="AJ268">
        <v>262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ROW(Source!A169)</f>
        <v>169</v>
      </c>
      <c r="B269">
        <v>65171749</v>
      </c>
      <c r="C269">
        <v>65171723</v>
      </c>
      <c r="D269">
        <v>56594674</v>
      </c>
      <c r="E269">
        <v>1</v>
      </c>
      <c r="F269">
        <v>1</v>
      </c>
      <c r="G269">
        <v>1</v>
      </c>
      <c r="H269">
        <v>3</v>
      </c>
      <c r="I269" t="s">
        <v>748</v>
      </c>
      <c r="J269" t="s">
        <v>749</v>
      </c>
      <c r="K269" t="s">
        <v>750</v>
      </c>
      <c r="L269">
        <v>1348</v>
      </c>
      <c r="N269">
        <v>1009</v>
      </c>
      <c r="O269" t="s">
        <v>94</v>
      </c>
      <c r="P269" t="s">
        <v>94</v>
      </c>
      <c r="Q269">
        <v>1000</v>
      </c>
      <c r="X269">
        <v>1E-3</v>
      </c>
      <c r="Y269">
        <v>790465.03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3</v>
      </c>
      <c r="AG269">
        <v>1E-3</v>
      </c>
      <c r="AH269">
        <v>2</v>
      </c>
      <c r="AI269">
        <v>65171735</v>
      </c>
      <c r="AJ269">
        <v>263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ROW(Source!A169)</f>
        <v>169</v>
      </c>
      <c r="B270">
        <v>65171750</v>
      </c>
      <c r="C270">
        <v>65171723</v>
      </c>
      <c r="D270">
        <v>56610213</v>
      </c>
      <c r="E270">
        <v>1</v>
      </c>
      <c r="F270">
        <v>1</v>
      </c>
      <c r="G270">
        <v>1</v>
      </c>
      <c r="H270">
        <v>3</v>
      </c>
      <c r="I270" t="s">
        <v>751</v>
      </c>
      <c r="J270" t="s">
        <v>752</v>
      </c>
      <c r="K270" t="s">
        <v>753</v>
      </c>
      <c r="L270">
        <v>1348</v>
      </c>
      <c r="N270">
        <v>1009</v>
      </c>
      <c r="O270" t="s">
        <v>94</v>
      </c>
      <c r="P270" t="s">
        <v>94</v>
      </c>
      <c r="Q270">
        <v>1000</v>
      </c>
      <c r="X270">
        <v>1.6800000000000001E-3</v>
      </c>
      <c r="Y270">
        <v>308849.7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3</v>
      </c>
      <c r="AG270">
        <v>1.6800000000000001E-3</v>
      </c>
      <c r="AH270">
        <v>2</v>
      </c>
      <c r="AI270">
        <v>65171736</v>
      </c>
      <c r="AJ270">
        <v>264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ROW(Source!A169)</f>
        <v>169</v>
      </c>
      <c r="B271">
        <v>65171751</v>
      </c>
      <c r="C271">
        <v>65171723</v>
      </c>
      <c r="D271">
        <v>56628095</v>
      </c>
      <c r="E271">
        <v>1</v>
      </c>
      <c r="F271">
        <v>1</v>
      </c>
      <c r="G271">
        <v>1</v>
      </c>
      <c r="H271">
        <v>3</v>
      </c>
      <c r="I271" t="s">
        <v>754</v>
      </c>
      <c r="J271" t="s">
        <v>755</v>
      </c>
      <c r="K271" t="s">
        <v>756</v>
      </c>
      <c r="L271">
        <v>1301</v>
      </c>
      <c r="N271">
        <v>1003</v>
      </c>
      <c r="O271" t="s">
        <v>747</v>
      </c>
      <c r="P271" t="s">
        <v>747</v>
      </c>
      <c r="Q271">
        <v>1</v>
      </c>
      <c r="X271">
        <v>51.3</v>
      </c>
      <c r="Y271">
        <v>73.2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51.3</v>
      </c>
      <c r="AH271">
        <v>2</v>
      </c>
      <c r="AI271">
        <v>65171737</v>
      </c>
      <c r="AJ271">
        <v>265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ROW(Source!A169)</f>
        <v>169</v>
      </c>
      <c r="B272">
        <v>65171752</v>
      </c>
      <c r="C272">
        <v>65171723</v>
      </c>
      <c r="D272">
        <v>56223463</v>
      </c>
      <c r="E272">
        <v>108</v>
      </c>
      <c r="F272">
        <v>1</v>
      </c>
      <c r="G272">
        <v>1</v>
      </c>
      <c r="H272">
        <v>3</v>
      </c>
      <c r="I272" t="s">
        <v>667</v>
      </c>
      <c r="J272" t="s">
        <v>3</v>
      </c>
      <c r="K272" t="s">
        <v>668</v>
      </c>
      <c r="L272">
        <v>3277935</v>
      </c>
      <c r="N272">
        <v>1013</v>
      </c>
      <c r="O272" t="s">
        <v>669</v>
      </c>
      <c r="P272" t="s">
        <v>669</v>
      </c>
      <c r="Q272">
        <v>1</v>
      </c>
      <c r="X272">
        <v>2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 t="s">
        <v>3</v>
      </c>
      <c r="AG272">
        <v>2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ROW(Source!A170)</f>
        <v>170</v>
      </c>
      <c r="B273">
        <v>65171761</v>
      </c>
      <c r="C273">
        <v>65171753</v>
      </c>
      <c r="D273">
        <v>37064878</v>
      </c>
      <c r="E273">
        <v>108</v>
      </c>
      <c r="F273">
        <v>1</v>
      </c>
      <c r="G273">
        <v>1</v>
      </c>
      <c r="H273">
        <v>1</v>
      </c>
      <c r="I273" t="s">
        <v>715</v>
      </c>
      <c r="J273" t="s">
        <v>3</v>
      </c>
      <c r="K273" t="s">
        <v>716</v>
      </c>
      <c r="L273">
        <v>1191</v>
      </c>
      <c r="N273">
        <v>1013</v>
      </c>
      <c r="O273" t="s">
        <v>509</v>
      </c>
      <c r="P273" t="s">
        <v>509</v>
      </c>
      <c r="Q273">
        <v>1</v>
      </c>
      <c r="X273">
        <v>10.3</v>
      </c>
      <c r="Y273">
        <v>0</v>
      </c>
      <c r="Z273">
        <v>0</v>
      </c>
      <c r="AA273">
        <v>0</v>
      </c>
      <c r="AB273">
        <v>479.56</v>
      </c>
      <c r="AC273">
        <v>0</v>
      </c>
      <c r="AD273">
        <v>1</v>
      </c>
      <c r="AE273">
        <v>1</v>
      </c>
      <c r="AF273" t="s">
        <v>3</v>
      </c>
      <c r="AG273">
        <v>10.3</v>
      </c>
      <c r="AH273">
        <v>2</v>
      </c>
      <c r="AI273">
        <v>65171754</v>
      </c>
      <c r="AJ273">
        <v>266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ROW(Source!A170)</f>
        <v>170</v>
      </c>
      <c r="B274">
        <v>65171762</v>
      </c>
      <c r="C274">
        <v>65171753</v>
      </c>
      <c r="D274">
        <v>37064876</v>
      </c>
      <c r="E274">
        <v>108</v>
      </c>
      <c r="F274">
        <v>1</v>
      </c>
      <c r="G274">
        <v>1</v>
      </c>
      <c r="H274">
        <v>1</v>
      </c>
      <c r="I274" t="s">
        <v>510</v>
      </c>
      <c r="J274" t="s">
        <v>3</v>
      </c>
      <c r="K274" t="s">
        <v>511</v>
      </c>
      <c r="L274">
        <v>1191</v>
      </c>
      <c r="N274">
        <v>1013</v>
      </c>
      <c r="O274" t="s">
        <v>509</v>
      </c>
      <c r="P274" t="s">
        <v>509</v>
      </c>
      <c r="Q274">
        <v>1</v>
      </c>
      <c r="X274">
        <v>0.54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2</v>
      </c>
      <c r="AF274" t="s">
        <v>3</v>
      </c>
      <c r="AG274">
        <v>0.54</v>
      </c>
      <c r="AH274">
        <v>2</v>
      </c>
      <c r="AI274">
        <v>65171755</v>
      </c>
      <c r="AJ274">
        <v>267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ROW(Source!A170)</f>
        <v>170</v>
      </c>
      <c r="B275">
        <v>65171763</v>
      </c>
      <c r="C275">
        <v>65171753</v>
      </c>
      <c r="D275">
        <v>56571417</v>
      </c>
      <c r="E275">
        <v>1</v>
      </c>
      <c r="F275">
        <v>1</v>
      </c>
      <c r="G275">
        <v>1</v>
      </c>
      <c r="H275">
        <v>2</v>
      </c>
      <c r="I275" t="s">
        <v>512</v>
      </c>
      <c r="J275" t="s">
        <v>513</v>
      </c>
      <c r="K275" t="s">
        <v>514</v>
      </c>
      <c r="L275">
        <v>1368</v>
      </c>
      <c r="N275">
        <v>1011</v>
      </c>
      <c r="O275" t="s">
        <v>515</v>
      </c>
      <c r="P275" t="s">
        <v>515</v>
      </c>
      <c r="Q275">
        <v>1</v>
      </c>
      <c r="X275">
        <v>0.27</v>
      </c>
      <c r="Y275">
        <v>0</v>
      </c>
      <c r="Z275">
        <v>1551.19</v>
      </c>
      <c r="AA275">
        <v>658.94</v>
      </c>
      <c r="AB275">
        <v>0</v>
      </c>
      <c r="AC275">
        <v>0</v>
      </c>
      <c r="AD275">
        <v>1</v>
      </c>
      <c r="AE275">
        <v>0</v>
      </c>
      <c r="AF275" t="s">
        <v>3</v>
      </c>
      <c r="AG275">
        <v>0.27</v>
      </c>
      <c r="AH275">
        <v>2</v>
      </c>
      <c r="AI275">
        <v>65171756</v>
      </c>
      <c r="AJ275">
        <v>268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ROW(Source!A170)</f>
        <v>170</v>
      </c>
      <c r="B276">
        <v>65171764</v>
      </c>
      <c r="C276">
        <v>65171753</v>
      </c>
      <c r="D276">
        <v>56572833</v>
      </c>
      <c r="E276">
        <v>1</v>
      </c>
      <c r="F276">
        <v>1</v>
      </c>
      <c r="G276">
        <v>1</v>
      </c>
      <c r="H276">
        <v>2</v>
      </c>
      <c r="I276" t="s">
        <v>520</v>
      </c>
      <c r="J276" t="s">
        <v>521</v>
      </c>
      <c r="K276" t="s">
        <v>522</v>
      </c>
      <c r="L276">
        <v>1368</v>
      </c>
      <c r="N276">
        <v>1011</v>
      </c>
      <c r="O276" t="s">
        <v>515</v>
      </c>
      <c r="P276" t="s">
        <v>515</v>
      </c>
      <c r="Q276">
        <v>1</v>
      </c>
      <c r="X276">
        <v>0.27</v>
      </c>
      <c r="Y276">
        <v>0</v>
      </c>
      <c r="Z276">
        <v>477.92</v>
      </c>
      <c r="AA276">
        <v>490.55</v>
      </c>
      <c r="AB276">
        <v>0</v>
      </c>
      <c r="AC276">
        <v>0</v>
      </c>
      <c r="AD276">
        <v>1</v>
      </c>
      <c r="AE276">
        <v>0</v>
      </c>
      <c r="AF276" t="s">
        <v>3</v>
      </c>
      <c r="AG276">
        <v>0.27</v>
      </c>
      <c r="AH276">
        <v>2</v>
      </c>
      <c r="AI276">
        <v>65171757</v>
      </c>
      <c r="AJ276">
        <v>269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ROW(Source!A170)</f>
        <v>170</v>
      </c>
      <c r="B277">
        <v>65171765</v>
      </c>
      <c r="C277">
        <v>65171753</v>
      </c>
      <c r="D277">
        <v>56573153</v>
      </c>
      <c r="E277">
        <v>1</v>
      </c>
      <c r="F277">
        <v>1</v>
      </c>
      <c r="G277">
        <v>1</v>
      </c>
      <c r="H277">
        <v>2</v>
      </c>
      <c r="I277" t="s">
        <v>655</v>
      </c>
      <c r="J277" t="s">
        <v>656</v>
      </c>
      <c r="K277" t="s">
        <v>657</v>
      </c>
      <c r="L277">
        <v>1368</v>
      </c>
      <c r="N277">
        <v>1011</v>
      </c>
      <c r="O277" t="s">
        <v>515</v>
      </c>
      <c r="P277" t="s">
        <v>515</v>
      </c>
      <c r="Q277">
        <v>1</v>
      </c>
      <c r="X277">
        <v>1.51</v>
      </c>
      <c r="Y277">
        <v>0</v>
      </c>
      <c r="Z277">
        <v>26.32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1.51</v>
      </c>
      <c r="AH277">
        <v>2</v>
      </c>
      <c r="AI277">
        <v>65171758</v>
      </c>
      <c r="AJ277">
        <v>270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ROW(Source!A170)</f>
        <v>170</v>
      </c>
      <c r="B278">
        <v>65171766</v>
      </c>
      <c r="C278">
        <v>65171753</v>
      </c>
      <c r="D278">
        <v>56579266</v>
      </c>
      <c r="E278">
        <v>1</v>
      </c>
      <c r="F278">
        <v>1</v>
      </c>
      <c r="G278">
        <v>1</v>
      </c>
      <c r="H278">
        <v>3</v>
      </c>
      <c r="I278" t="s">
        <v>550</v>
      </c>
      <c r="J278" t="s">
        <v>551</v>
      </c>
      <c r="K278" t="s">
        <v>552</v>
      </c>
      <c r="L278">
        <v>1346</v>
      </c>
      <c r="N278">
        <v>1009</v>
      </c>
      <c r="O278" t="s">
        <v>549</v>
      </c>
      <c r="P278" t="s">
        <v>549</v>
      </c>
      <c r="Q278">
        <v>1</v>
      </c>
      <c r="X278">
        <v>0.72</v>
      </c>
      <c r="Y278">
        <v>155.63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3</v>
      </c>
      <c r="AG278">
        <v>0.72</v>
      </c>
      <c r="AH278">
        <v>2</v>
      </c>
      <c r="AI278">
        <v>65171759</v>
      </c>
      <c r="AJ278">
        <v>271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ROW(Source!A170)</f>
        <v>170</v>
      </c>
      <c r="B279">
        <v>65171767</v>
      </c>
      <c r="C279">
        <v>65171753</v>
      </c>
      <c r="D279">
        <v>56609983</v>
      </c>
      <c r="E279">
        <v>1</v>
      </c>
      <c r="F279">
        <v>1</v>
      </c>
      <c r="G279">
        <v>1</v>
      </c>
      <c r="H279">
        <v>3</v>
      </c>
      <c r="I279" t="s">
        <v>717</v>
      </c>
      <c r="J279" t="s">
        <v>718</v>
      </c>
      <c r="K279" t="s">
        <v>719</v>
      </c>
      <c r="L279">
        <v>1346</v>
      </c>
      <c r="N279">
        <v>1009</v>
      </c>
      <c r="O279" t="s">
        <v>549</v>
      </c>
      <c r="P279" t="s">
        <v>549</v>
      </c>
      <c r="Q279">
        <v>1</v>
      </c>
      <c r="X279">
        <v>2.4</v>
      </c>
      <c r="Y279">
        <v>911.56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3</v>
      </c>
      <c r="AG279">
        <v>2.4</v>
      </c>
      <c r="AH279">
        <v>2</v>
      </c>
      <c r="AI279">
        <v>65171760</v>
      </c>
      <c r="AJ279">
        <v>272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ROW(Source!A170)</f>
        <v>170</v>
      </c>
      <c r="B280">
        <v>65171768</v>
      </c>
      <c r="C280">
        <v>65171753</v>
      </c>
      <c r="D280">
        <v>56223463</v>
      </c>
      <c r="E280">
        <v>108</v>
      </c>
      <c r="F280">
        <v>1</v>
      </c>
      <c r="G280">
        <v>1</v>
      </c>
      <c r="H280">
        <v>3</v>
      </c>
      <c r="I280" t="s">
        <v>667</v>
      </c>
      <c r="J280" t="s">
        <v>3</v>
      </c>
      <c r="K280" t="s">
        <v>668</v>
      </c>
      <c r="L280">
        <v>3277935</v>
      </c>
      <c r="N280">
        <v>1013</v>
      </c>
      <c r="O280" t="s">
        <v>669</v>
      </c>
      <c r="P280" t="s">
        <v>669</v>
      </c>
      <c r="Q280">
        <v>1</v>
      </c>
      <c r="X280">
        <v>2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 t="s">
        <v>3</v>
      </c>
      <c r="AG280">
        <v>2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ROW(Source!A171)</f>
        <v>171</v>
      </c>
      <c r="B281">
        <v>65171779</v>
      </c>
      <c r="C281">
        <v>65171769</v>
      </c>
      <c r="D281">
        <v>37064878</v>
      </c>
      <c r="E281">
        <v>108</v>
      </c>
      <c r="F281">
        <v>1</v>
      </c>
      <c r="G281">
        <v>1</v>
      </c>
      <c r="H281">
        <v>1</v>
      </c>
      <c r="I281" t="s">
        <v>715</v>
      </c>
      <c r="J281" t="s">
        <v>3</v>
      </c>
      <c r="K281" t="s">
        <v>716</v>
      </c>
      <c r="L281">
        <v>1191</v>
      </c>
      <c r="N281">
        <v>1013</v>
      </c>
      <c r="O281" t="s">
        <v>509</v>
      </c>
      <c r="P281" t="s">
        <v>509</v>
      </c>
      <c r="Q281">
        <v>1</v>
      </c>
      <c r="X281">
        <v>18.5</v>
      </c>
      <c r="Y281">
        <v>0</v>
      </c>
      <c r="Z281">
        <v>0</v>
      </c>
      <c r="AA281">
        <v>0</v>
      </c>
      <c r="AB281">
        <v>479.56</v>
      </c>
      <c r="AC281">
        <v>0</v>
      </c>
      <c r="AD281">
        <v>1</v>
      </c>
      <c r="AE281">
        <v>1</v>
      </c>
      <c r="AF281" t="s">
        <v>3</v>
      </c>
      <c r="AG281">
        <v>18.5</v>
      </c>
      <c r="AH281">
        <v>2</v>
      </c>
      <c r="AI281">
        <v>65171770</v>
      </c>
      <c r="AJ281">
        <v>273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ROW(Source!A171)</f>
        <v>171</v>
      </c>
      <c r="B282">
        <v>65171780</v>
      </c>
      <c r="C282">
        <v>65171769</v>
      </c>
      <c r="D282">
        <v>37064876</v>
      </c>
      <c r="E282">
        <v>108</v>
      </c>
      <c r="F282">
        <v>1</v>
      </c>
      <c r="G282">
        <v>1</v>
      </c>
      <c r="H282">
        <v>1</v>
      </c>
      <c r="I282" t="s">
        <v>510</v>
      </c>
      <c r="J282" t="s">
        <v>3</v>
      </c>
      <c r="K282" t="s">
        <v>511</v>
      </c>
      <c r="L282">
        <v>1191</v>
      </c>
      <c r="N282">
        <v>1013</v>
      </c>
      <c r="O282" t="s">
        <v>509</v>
      </c>
      <c r="P282" t="s">
        <v>509</v>
      </c>
      <c r="Q282">
        <v>1</v>
      </c>
      <c r="X282">
        <v>0.46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2</v>
      </c>
      <c r="AF282" t="s">
        <v>3</v>
      </c>
      <c r="AG282">
        <v>0.46</v>
      </c>
      <c r="AH282">
        <v>2</v>
      </c>
      <c r="AI282">
        <v>65171771</v>
      </c>
      <c r="AJ282">
        <v>274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ROW(Source!A171)</f>
        <v>171</v>
      </c>
      <c r="B283">
        <v>65171781</v>
      </c>
      <c r="C283">
        <v>65171769</v>
      </c>
      <c r="D283">
        <v>56571417</v>
      </c>
      <c r="E283">
        <v>1</v>
      </c>
      <c r="F283">
        <v>1</v>
      </c>
      <c r="G283">
        <v>1</v>
      </c>
      <c r="H283">
        <v>2</v>
      </c>
      <c r="I283" t="s">
        <v>512</v>
      </c>
      <c r="J283" t="s">
        <v>513</v>
      </c>
      <c r="K283" t="s">
        <v>514</v>
      </c>
      <c r="L283">
        <v>1368</v>
      </c>
      <c r="N283">
        <v>1011</v>
      </c>
      <c r="O283" t="s">
        <v>515</v>
      </c>
      <c r="P283" t="s">
        <v>515</v>
      </c>
      <c r="Q283">
        <v>1</v>
      </c>
      <c r="X283">
        <v>0.23</v>
      </c>
      <c r="Y283">
        <v>0</v>
      </c>
      <c r="Z283">
        <v>1551.19</v>
      </c>
      <c r="AA283">
        <v>658.94</v>
      </c>
      <c r="AB283">
        <v>0</v>
      </c>
      <c r="AC283">
        <v>0</v>
      </c>
      <c r="AD283">
        <v>1</v>
      </c>
      <c r="AE283">
        <v>0</v>
      </c>
      <c r="AF283" t="s">
        <v>3</v>
      </c>
      <c r="AG283">
        <v>0.23</v>
      </c>
      <c r="AH283">
        <v>2</v>
      </c>
      <c r="AI283">
        <v>65171772</v>
      </c>
      <c r="AJ283">
        <v>275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ROW(Source!A171)</f>
        <v>171</v>
      </c>
      <c r="B284">
        <v>65171782</v>
      </c>
      <c r="C284">
        <v>65171769</v>
      </c>
      <c r="D284">
        <v>56572833</v>
      </c>
      <c r="E284">
        <v>1</v>
      </c>
      <c r="F284">
        <v>1</v>
      </c>
      <c r="G284">
        <v>1</v>
      </c>
      <c r="H284">
        <v>2</v>
      </c>
      <c r="I284" t="s">
        <v>520</v>
      </c>
      <c r="J284" t="s">
        <v>521</v>
      </c>
      <c r="K284" t="s">
        <v>522</v>
      </c>
      <c r="L284">
        <v>1368</v>
      </c>
      <c r="N284">
        <v>1011</v>
      </c>
      <c r="O284" t="s">
        <v>515</v>
      </c>
      <c r="P284" t="s">
        <v>515</v>
      </c>
      <c r="Q284">
        <v>1</v>
      </c>
      <c r="X284">
        <v>0.23</v>
      </c>
      <c r="Y284">
        <v>0</v>
      </c>
      <c r="Z284">
        <v>477.92</v>
      </c>
      <c r="AA284">
        <v>490.55</v>
      </c>
      <c r="AB284">
        <v>0</v>
      </c>
      <c r="AC284">
        <v>0</v>
      </c>
      <c r="AD284">
        <v>1</v>
      </c>
      <c r="AE284">
        <v>0</v>
      </c>
      <c r="AF284" t="s">
        <v>3</v>
      </c>
      <c r="AG284">
        <v>0.23</v>
      </c>
      <c r="AH284">
        <v>2</v>
      </c>
      <c r="AI284">
        <v>65171773</v>
      </c>
      <c r="AJ284">
        <v>276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ROW(Source!A171)</f>
        <v>171</v>
      </c>
      <c r="B285">
        <v>65171783</v>
      </c>
      <c r="C285">
        <v>65171769</v>
      </c>
      <c r="D285">
        <v>56573153</v>
      </c>
      <c r="E285">
        <v>1</v>
      </c>
      <c r="F285">
        <v>1</v>
      </c>
      <c r="G285">
        <v>1</v>
      </c>
      <c r="H285">
        <v>2</v>
      </c>
      <c r="I285" t="s">
        <v>655</v>
      </c>
      <c r="J285" t="s">
        <v>656</v>
      </c>
      <c r="K285" t="s">
        <v>657</v>
      </c>
      <c r="L285">
        <v>1368</v>
      </c>
      <c r="N285">
        <v>1011</v>
      </c>
      <c r="O285" t="s">
        <v>515</v>
      </c>
      <c r="P285" t="s">
        <v>515</v>
      </c>
      <c r="Q285">
        <v>1</v>
      </c>
      <c r="X285">
        <v>2.9</v>
      </c>
      <c r="Y285">
        <v>0</v>
      </c>
      <c r="Z285">
        <v>26.32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3</v>
      </c>
      <c r="AG285">
        <v>2.9</v>
      </c>
      <c r="AH285">
        <v>2</v>
      </c>
      <c r="AI285">
        <v>65171774</v>
      </c>
      <c r="AJ285">
        <v>277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ROW(Source!A171)</f>
        <v>171</v>
      </c>
      <c r="B286">
        <v>65171784</v>
      </c>
      <c r="C286">
        <v>65171769</v>
      </c>
      <c r="D286">
        <v>56579266</v>
      </c>
      <c r="E286">
        <v>1</v>
      </c>
      <c r="F286">
        <v>1</v>
      </c>
      <c r="G286">
        <v>1</v>
      </c>
      <c r="H286">
        <v>3</v>
      </c>
      <c r="I286" t="s">
        <v>550</v>
      </c>
      <c r="J286" t="s">
        <v>551</v>
      </c>
      <c r="K286" t="s">
        <v>552</v>
      </c>
      <c r="L286">
        <v>1346</v>
      </c>
      <c r="N286">
        <v>1009</v>
      </c>
      <c r="O286" t="s">
        <v>549</v>
      </c>
      <c r="P286" t="s">
        <v>549</v>
      </c>
      <c r="Q286">
        <v>1</v>
      </c>
      <c r="X286">
        <v>1.3</v>
      </c>
      <c r="Y286">
        <v>155.63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</v>
      </c>
      <c r="AG286">
        <v>1.3</v>
      </c>
      <c r="AH286">
        <v>2</v>
      </c>
      <c r="AI286">
        <v>65171775</v>
      </c>
      <c r="AJ286">
        <v>278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ROW(Source!A171)</f>
        <v>171</v>
      </c>
      <c r="B287">
        <v>65171785</v>
      </c>
      <c r="C287">
        <v>65171769</v>
      </c>
      <c r="D287">
        <v>56592692</v>
      </c>
      <c r="E287">
        <v>1</v>
      </c>
      <c r="F287">
        <v>1</v>
      </c>
      <c r="G287">
        <v>1</v>
      </c>
      <c r="H287">
        <v>3</v>
      </c>
      <c r="I287" t="s">
        <v>720</v>
      </c>
      <c r="J287" t="s">
        <v>721</v>
      </c>
      <c r="K287" t="s">
        <v>722</v>
      </c>
      <c r="L287">
        <v>1348</v>
      </c>
      <c r="N287">
        <v>1009</v>
      </c>
      <c r="O287" t="s">
        <v>94</v>
      </c>
      <c r="P287" t="s">
        <v>94</v>
      </c>
      <c r="Q287">
        <v>1000</v>
      </c>
      <c r="X287">
        <v>4.0000000000000001E-3</v>
      </c>
      <c r="Y287">
        <v>71131.5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3</v>
      </c>
      <c r="AG287">
        <v>4.0000000000000001E-3</v>
      </c>
      <c r="AH287">
        <v>2</v>
      </c>
      <c r="AI287">
        <v>65171776</v>
      </c>
      <c r="AJ287">
        <v>279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ROW(Source!A171)</f>
        <v>171</v>
      </c>
      <c r="B288">
        <v>65171786</v>
      </c>
      <c r="C288">
        <v>65171769</v>
      </c>
      <c r="D288">
        <v>56609983</v>
      </c>
      <c r="E288">
        <v>1</v>
      </c>
      <c r="F288">
        <v>1</v>
      </c>
      <c r="G288">
        <v>1</v>
      </c>
      <c r="H288">
        <v>3</v>
      </c>
      <c r="I288" t="s">
        <v>717</v>
      </c>
      <c r="J288" t="s">
        <v>718</v>
      </c>
      <c r="K288" t="s">
        <v>719</v>
      </c>
      <c r="L288">
        <v>1346</v>
      </c>
      <c r="N288">
        <v>1009</v>
      </c>
      <c r="O288" t="s">
        <v>549</v>
      </c>
      <c r="P288" t="s">
        <v>549</v>
      </c>
      <c r="Q288">
        <v>1</v>
      </c>
      <c r="X288">
        <v>2.2999999999999998</v>
      </c>
      <c r="Y288">
        <v>911.56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0</v>
      </c>
      <c r="AF288" t="s">
        <v>3</v>
      </c>
      <c r="AG288">
        <v>2.2999999999999998</v>
      </c>
      <c r="AH288">
        <v>2</v>
      </c>
      <c r="AI288">
        <v>65171777</v>
      </c>
      <c r="AJ288">
        <v>280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ROW(Source!A171)</f>
        <v>171</v>
      </c>
      <c r="B289">
        <v>65171787</v>
      </c>
      <c r="C289">
        <v>65171769</v>
      </c>
      <c r="D289">
        <v>56223463</v>
      </c>
      <c r="E289">
        <v>108</v>
      </c>
      <c r="F289">
        <v>1</v>
      </c>
      <c r="G289">
        <v>1</v>
      </c>
      <c r="H289">
        <v>3</v>
      </c>
      <c r="I289" t="s">
        <v>667</v>
      </c>
      <c r="J289" t="s">
        <v>3</v>
      </c>
      <c r="K289" t="s">
        <v>668</v>
      </c>
      <c r="L289">
        <v>3277935</v>
      </c>
      <c r="N289">
        <v>1013</v>
      </c>
      <c r="O289" t="s">
        <v>669</v>
      </c>
      <c r="P289" t="s">
        <v>669</v>
      </c>
      <c r="Q289">
        <v>1</v>
      </c>
      <c r="X289">
        <v>2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 t="s">
        <v>3</v>
      </c>
      <c r="AG289">
        <v>2</v>
      </c>
      <c r="AH289">
        <v>2</v>
      </c>
      <c r="AI289">
        <v>65171778</v>
      </c>
      <c r="AJ289">
        <v>281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ROW(Source!A172)</f>
        <v>172</v>
      </c>
      <c r="B290">
        <v>65171797</v>
      </c>
      <c r="C290">
        <v>65171788</v>
      </c>
      <c r="D290">
        <v>37064878</v>
      </c>
      <c r="E290">
        <v>108</v>
      </c>
      <c r="F290">
        <v>1</v>
      </c>
      <c r="G290">
        <v>1</v>
      </c>
      <c r="H290">
        <v>1</v>
      </c>
      <c r="I290" t="s">
        <v>715</v>
      </c>
      <c r="J290" t="s">
        <v>3</v>
      </c>
      <c r="K290" t="s">
        <v>716</v>
      </c>
      <c r="L290">
        <v>1191</v>
      </c>
      <c r="N290">
        <v>1013</v>
      </c>
      <c r="O290" t="s">
        <v>509</v>
      </c>
      <c r="P290" t="s">
        <v>509</v>
      </c>
      <c r="Q290">
        <v>1</v>
      </c>
      <c r="X290">
        <v>18.5</v>
      </c>
      <c r="Y290">
        <v>0</v>
      </c>
      <c r="Z290">
        <v>0</v>
      </c>
      <c r="AA290">
        <v>0</v>
      </c>
      <c r="AB290">
        <v>479.56</v>
      </c>
      <c r="AC290">
        <v>0</v>
      </c>
      <c r="AD290">
        <v>1</v>
      </c>
      <c r="AE290">
        <v>1</v>
      </c>
      <c r="AF290" t="s">
        <v>3</v>
      </c>
      <c r="AG290">
        <v>18.5</v>
      </c>
      <c r="AH290">
        <v>2</v>
      </c>
      <c r="AI290">
        <v>65171789</v>
      </c>
      <c r="AJ290">
        <v>282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ROW(Source!A172)</f>
        <v>172</v>
      </c>
      <c r="B291">
        <v>65171798</v>
      </c>
      <c r="C291">
        <v>65171788</v>
      </c>
      <c r="D291">
        <v>37064876</v>
      </c>
      <c r="E291">
        <v>108</v>
      </c>
      <c r="F291">
        <v>1</v>
      </c>
      <c r="G291">
        <v>1</v>
      </c>
      <c r="H291">
        <v>1</v>
      </c>
      <c r="I291" t="s">
        <v>510</v>
      </c>
      <c r="J291" t="s">
        <v>3</v>
      </c>
      <c r="K291" t="s">
        <v>511</v>
      </c>
      <c r="L291">
        <v>1191</v>
      </c>
      <c r="N291">
        <v>1013</v>
      </c>
      <c r="O291" t="s">
        <v>509</v>
      </c>
      <c r="P291" t="s">
        <v>509</v>
      </c>
      <c r="Q291">
        <v>1</v>
      </c>
      <c r="X291">
        <v>0.34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2</v>
      </c>
      <c r="AF291" t="s">
        <v>3</v>
      </c>
      <c r="AG291">
        <v>0.34</v>
      </c>
      <c r="AH291">
        <v>2</v>
      </c>
      <c r="AI291">
        <v>65171790</v>
      </c>
      <c r="AJ291">
        <v>283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ROW(Source!A172)</f>
        <v>172</v>
      </c>
      <c r="B292">
        <v>65171799</v>
      </c>
      <c r="C292">
        <v>65171788</v>
      </c>
      <c r="D292">
        <v>56571417</v>
      </c>
      <c r="E292">
        <v>1</v>
      </c>
      <c r="F292">
        <v>1</v>
      </c>
      <c r="G292">
        <v>1</v>
      </c>
      <c r="H292">
        <v>2</v>
      </c>
      <c r="I292" t="s">
        <v>512</v>
      </c>
      <c r="J292" t="s">
        <v>513</v>
      </c>
      <c r="K292" t="s">
        <v>514</v>
      </c>
      <c r="L292">
        <v>1368</v>
      </c>
      <c r="N292">
        <v>1011</v>
      </c>
      <c r="O292" t="s">
        <v>515</v>
      </c>
      <c r="P292" t="s">
        <v>515</v>
      </c>
      <c r="Q292">
        <v>1</v>
      </c>
      <c r="X292">
        <v>0.17</v>
      </c>
      <c r="Y292">
        <v>0</v>
      </c>
      <c r="Z292">
        <v>1551.19</v>
      </c>
      <c r="AA292">
        <v>658.94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0.17</v>
      </c>
      <c r="AH292">
        <v>2</v>
      </c>
      <c r="AI292">
        <v>65171791</v>
      </c>
      <c r="AJ292">
        <v>284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ROW(Source!A172)</f>
        <v>172</v>
      </c>
      <c r="B293">
        <v>65171800</v>
      </c>
      <c r="C293">
        <v>65171788</v>
      </c>
      <c r="D293">
        <v>56572833</v>
      </c>
      <c r="E293">
        <v>1</v>
      </c>
      <c r="F293">
        <v>1</v>
      </c>
      <c r="G293">
        <v>1</v>
      </c>
      <c r="H293">
        <v>2</v>
      </c>
      <c r="I293" t="s">
        <v>520</v>
      </c>
      <c r="J293" t="s">
        <v>521</v>
      </c>
      <c r="K293" t="s">
        <v>522</v>
      </c>
      <c r="L293">
        <v>1368</v>
      </c>
      <c r="N293">
        <v>1011</v>
      </c>
      <c r="O293" t="s">
        <v>515</v>
      </c>
      <c r="P293" t="s">
        <v>515</v>
      </c>
      <c r="Q293">
        <v>1</v>
      </c>
      <c r="X293">
        <v>0.17</v>
      </c>
      <c r="Y293">
        <v>0</v>
      </c>
      <c r="Z293">
        <v>477.92</v>
      </c>
      <c r="AA293">
        <v>490.55</v>
      </c>
      <c r="AB293">
        <v>0</v>
      </c>
      <c r="AC293">
        <v>0</v>
      </c>
      <c r="AD293">
        <v>1</v>
      </c>
      <c r="AE293">
        <v>0</v>
      </c>
      <c r="AF293" t="s">
        <v>3</v>
      </c>
      <c r="AG293">
        <v>0.17</v>
      </c>
      <c r="AH293">
        <v>2</v>
      </c>
      <c r="AI293">
        <v>65171792</v>
      </c>
      <c r="AJ293">
        <v>285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ROW(Source!A172)</f>
        <v>172</v>
      </c>
      <c r="B294">
        <v>65171801</v>
      </c>
      <c r="C294">
        <v>65171788</v>
      </c>
      <c r="D294">
        <v>56573153</v>
      </c>
      <c r="E294">
        <v>1</v>
      </c>
      <c r="F294">
        <v>1</v>
      </c>
      <c r="G294">
        <v>1</v>
      </c>
      <c r="H294">
        <v>2</v>
      </c>
      <c r="I294" t="s">
        <v>655</v>
      </c>
      <c r="J294" t="s">
        <v>656</v>
      </c>
      <c r="K294" t="s">
        <v>657</v>
      </c>
      <c r="L294">
        <v>1368</v>
      </c>
      <c r="N294">
        <v>1011</v>
      </c>
      <c r="O294" t="s">
        <v>515</v>
      </c>
      <c r="P294" t="s">
        <v>515</v>
      </c>
      <c r="Q294">
        <v>1</v>
      </c>
      <c r="X294">
        <v>2.9</v>
      </c>
      <c r="Y294">
        <v>0</v>
      </c>
      <c r="Z294">
        <v>26.32</v>
      </c>
      <c r="AA294">
        <v>0</v>
      </c>
      <c r="AB294">
        <v>0</v>
      </c>
      <c r="AC294">
        <v>0</v>
      </c>
      <c r="AD294">
        <v>1</v>
      </c>
      <c r="AE294">
        <v>0</v>
      </c>
      <c r="AF294" t="s">
        <v>3</v>
      </c>
      <c r="AG294">
        <v>2.9</v>
      </c>
      <c r="AH294">
        <v>2</v>
      </c>
      <c r="AI294">
        <v>65171793</v>
      </c>
      <c r="AJ294">
        <v>286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ROW(Source!A172)</f>
        <v>172</v>
      </c>
      <c r="B295">
        <v>65171802</v>
      </c>
      <c r="C295">
        <v>65171788</v>
      </c>
      <c r="D295">
        <v>56579266</v>
      </c>
      <c r="E295">
        <v>1</v>
      </c>
      <c r="F295">
        <v>1</v>
      </c>
      <c r="G295">
        <v>1</v>
      </c>
      <c r="H295">
        <v>3</v>
      </c>
      <c r="I295" t="s">
        <v>550</v>
      </c>
      <c r="J295" t="s">
        <v>551</v>
      </c>
      <c r="K295" t="s">
        <v>552</v>
      </c>
      <c r="L295">
        <v>1346</v>
      </c>
      <c r="N295">
        <v>1009</v>
      </c>
      <c r="O295" t="s">
        <v>549</v>
      </c>
      <c r="P295" t="s">
        <v>549</v>
      </c>
      <c r="Q295">
        <v>1</v>
      </c>
      <c r="X295">
        <v>0.9</v>
      </c>
      <c r="Y295">
        <v>155.63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3</v>
      </c>
      <c r="AG295">
        <v>0.9</v>
      </c>
      <c r="AH295">
        <v>2</v>
      </c>
      <c r="AI295">
        <v>65171794</v>
      </c>
      <c r="AJ295">
        <v>287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ROW(Source!A172)</f>
        <v>172</v>
      </c>
      <c r="B296">
        <v>65171803</v>
      </c>
      <c r="C296">
        <v>65171788</v>
      </c>
      <c r="D296">
        <v>56592692</v>
      </c>
      <c r="E296">
        <v>1</v>
      </c>
      <c r="F296">
        <v>1</v>
      </c>
      <c r="G296">
        <v>1</v>
      </c>
      <c r="H296">
        <v>3</v>
      </c>
      <c r="I296" t="s">
        <v>720</v>
      </c>
      <c r="J296" t="s">
        <v>721</v>
      </c>
      <c r="K296" t="s">
        <v>722</v>
      </c>
      <c r="L296">
        <v>1348</v>
      </c>
      <c r="N296">
        <v>1009</v>
      </c>
      <c r="O296" t="s">
        <v>94</v>
      </c>
      <c r="P296" t="s">
        <v>94</v>
      </c>
      <c r="Q296">
        <v>1000</v>
      </c>
      <c r="X296">
        <v>4.0000000000000001E-3</v>
      </c>
      <c r="Y296">
        <v>71131.5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4.0000000000000001E-3</v>
      </c>
      <c r="AH296">
        <v>2</v>
      </c>
      <c r="AI296">
        <v>65171795</v>
      </c>
      <c r="AJ296">
        <v>288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ROW(Source!A172)</f>
        <v>172</v>
      </c>
      <c r="B297">
        <v>65171804</v>
      </c>
      <c r="C297">
        <v>65171788</v>
      </c>
      <c r="D297">
        <v>56609983</v>
      </c>
      <c r="E297">
        <v>1</v>
      </c>
      <c r="F297">
        <v>1</v>
      </c>
      <c r="G297">
        <v>1</v>
      </c>
      <c r="H297">
        <v>3</v>
      </c>
      <c r="I297" t="s">
        <v>717</v>
      </c>
      <c r="J297" t="s">
        <v>718</v>
      </c>
      <c r="K297" t="s">
        <v>719</v>
      </c>
      <c r="L297">
        <v>1346</v>
      </c>
      <c r="N297">
        <v>1009</v>
      </c>
      <c r="O297" t="s">
        <v>549</v>
      </c>
      <c r="P297" t="s">
        <v>549</v>
      </c>
      <c r="Q297">
        <v>1</v>
      </c>
      <c r="X297">
        <v>2.4</v>
      </c>
      <c r="Y297">
        <v>911.56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0</v>
      </c>
      <c r="AF297" t="s">
        <v>3</v>
      </c>
      <c r="AG297">
        <v>2.4</v>
      </c>
      <c r="AH297">
        <v>2</v>
      </c>
      <c r="AI297">
        <v>65171796</v>
      </c>
      <c r="AJ297">
        <v>289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ROW(Source!A172)</f>
        <v>172</v>
      </c>
      <c r="B298">
        <v>65171805</v>
      </c>
      <c r="C298">
        <v>65171788</v>
      </c>
      <c r="D298">
        <v>56223463</v>
      </c>
      <c r="E298">
        <v>108</v>
      </c>
      <c r="F298">
        <v>1</v>
      </c>
      <c r="G298">
        <v>1</v>
      </c>
      <c r="H298">
        <v>3</v>
      </c>
      <c r="I298" t="s">
        <v>667</v>
      </c>
      <c r="J298" t="s">
        <v>3</v>
      </c>
      <c r="K298" t="s">
        <v>668</v>
      </c>
      <c r="L298">
        <v>3277935</v>
      </c>
      <c r="N298">
        <v>1013</v>
      </c>
      <c r="O298" t="s">
        <v>669</v>
      </c>
      <c r="P298" t="s">
        <v>669</v>
      </c>
      <c r="Q298">
        <v>1</v>
      </c>
      <c r="X298">
        <v>2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 t="s">
        <v>3</v>
      </c>
      <c r="AG298">
        <v>2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ROW(Source!A290)</f>
        <v>290</v>
      </c>
      <c r="B299">
        <v>65171992</v>
      </c>
      <c r="C299">
        <v>65171989</v>
      </c>
      <c r="D299">
        <v>56217421</v>
      </c>
      <c r="E299">
        <v>108</v>
      </c>
      <c r="F299">
        <v>1</v>
      </c>
      <c r="G299">
        <v>1</v>
      </c>
      <c r="H299">
        <v>1</v>
      </c>
      <c r="I299" t="s">
        <v>757</v>
      </c>
      <c r="J299" t="s">
        <v>3</v>
      </c>
      <c r="K299" t="s">
        <v>758</v>
      </c>
      <c r="L299">
        <v>1369</v>
      </c>
      <c r="N299">
        <v>1013</v>
      </c>
      <c r="O299" t="s">
        <v>699</v>
      </c>
      <c r="P299" t="s">
        <v>699</v>
      </c>
      <c r="Q299">
        <v>1</v>
      </c>
      <c r="X299">
        <v>0.81</v>
      </c>
      <c r="Y299">
        <v>0</v>
      </c>
      <c r="Z299">
        <v>0</v>
      </c>
      <c r="AA299">
        <v>0</v>
      </c>
      <c r="AB299">
        <v>658.94</v>
      </c>
      <c r="AC299">
        <v>0</v>
      </c>
      <c r="AD299">
        <v>1</v>
      </c>
      <c r="AE299">
        <v>1</v>
      </c>
      <c r="AF299" t="s">
        <v>3</v>
      </c>
      <c r="AG299">
        <v>0.81</v>
      </c>
      <c r="AH299">
        <v>2</v>
      </c>
      <c r="AI299">
        <v>65171990</v>
      </c>
      <c r="AJ299">
        <v>290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ROW(Source!A290)</f>
        <v>290</v>
      </c>
      <c r="B300">
        <v>65171993</v>
      </c>
      <c r="C300">
        <v>65171989</v>
      </c>
      <c r="D300">
        <v>56217452</v>
      </c>
      <c r="E300">
        <v>108</v>
      </c>
      <c r="F300">
        <v>1</v>
      </c>
      <c r="G300">
        <v>1</v>
      </c>
      <c r="H300">
        <v>1</v>
      </c>
      <c r="I300" t="s">
        <v>759</v>
      </c>
      <c r="J300" t="s">
        <v>3</v>
      </c>
      <c r="K300" t="s">
        <v>760</v>
      </c>
      <c r="L300">
        <v>1369</v>
      </c>
      <c r="N300">
        <v>1013</v>
      </c>
      <c r="O300" t="s">
        <v>699</v>
      </c>
      <c r="P300" t="s">
        <v>699</v>
      </c>
      <c r="Q300">
        <v>1</v>
      </c>
      <c r="X300">
        <v>0.81</v>
      </c>
      <c r="Y300">
        <v>0</v>
      </c>
      <c r="Z300">
        <v>0</v>
      </c>
      <c r="AA300">
        <v>0</v>
      </c>
      <c r="AB300">
        <v>644.29999999999995</v>
      </c>
      <c r="AC300">
        <v>0</v>
      </c>
      <c r="AD300">
        <v>1</v>
      </c>
      <c r="AE300">
        <v>1</v>
      </c>
      <c r="AF300" t="s">
        <v>3</v>
      </c>
      <c r="AG300">
        <v>0.81</v>
      </c>
      <c r="AH300">
        <v>2</v>
      </c>
      <c r="AI300">
        <v>65171991</v>
      </c>
      <c r="AJ300">
        <v>291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ROW(Source!A291)</f>
        <v>291</v>
      </c>
      <c r="B301">
        <v>65171997</v>
      </c>
      <c r="C301">
        <v>65171994</v>
      </c>
      <c r="D301">
        <v>56217437</v>
      </c>
      <c r="E301">
        <v>108</v>
      </c>
      <c r="F301">
        <v>1</v>
      </c>
      <c r="G301">
        <v>1</v>
      </c>
      <c r="H301">
        <v>1</v>
      </c>
      <c r="I301" t="s">
        <v>761</v>
      </c>
      <c r="J301" t="s">
        <v>3</v>
      </c>
      <c r="K301" t="s">
        <v>762</v>
      </c>
      <c r="L301">
        <v>1369</v>
      </c>
      <c r="N301">
        <v>1013</v>
      </c>
      <c r="O301" t="s">
        <v>699</v>
      </c>
      <c r="P301" t="s">
        <v>699</v>
      </c>
      <c r="Q301">
        <v>1</v>
      </c>
      <c r="X301">
        <v>4.32</v>
      </c>
      <c r="Y301">
        <v>0</v>
      </c>
      <c r="Z301">
        <v>0</v>
      </c>
      <c r="AA301">
        <v>0</v>
      </c>
      <c r="AB301">
        <v>468.58</v>
      </c>
      <c r="AC301">
        <v>0</v>
      </c>
      <c r="AD301">
        <v>1</v>
      </c>
      <c r="AE301">
        <v>1</v>
      </c>
      <c r="AF301" t="s">
        <v>3</v>
      </c>
      <c r="AG301">
        <v>4.32</v>
      </c>
      <c r="AH301">
        <v>2</v>
      </c>
      <c r="AI301">
        <v>65171995</v>
      </c>
      <c r="AJ301">
        <v>292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ROW(Source!A291)</f>
        <v>291</v>
      </c>
      <c r="B302">
        <v>65171998</v>
      </c>
      <c r="C302">
        <v>65171994</v>
      </c>
      <c r="D302">
        <v>56217445</v>
      </c>
      <c r="E302">
        <v>108</v>
      </c>
      <c r="F302">
        <v>1</v>
      </c>
      <c r="G302">
        <v>1</v>
      </c>
      <c r="H302">
        <v>1</v>
      </c>
      <c r="I302" t="s">
        <v>763</v>
      </c>
      <c r="J302" t="s">
        <v>3</v>
      </c>
      <c r="K302" t="s">
        <v>764</v>
      </c>
      <c r="L302">
        <v>1369</v>
      </c>
      <c r="N302">
        <v>1013</v>
      </c>
      <c r="O302" t="s">
        <v>699</v>
      </c>
      <c r="P302" t="s">
        <v>699</v>
      </c>
      <c r="Q302">
        <v>1</v>
      </c>
      <c r="X302">
        <v>6.48</v>
      </c>
      <c r="Y302">
        <v>0</v>
      </c>
      <c r="Z302">
        <v>0</v>
      </c>
      <c r="AA302">
        <v>0</v>
      </c>
      <c r="AB302">
        <v>787.07</v>
      </c>
      <c r="AC302">
        <v>0</v>
      </c>
      <c r="AD302">
        <v>1</v>
      </c>
      <c r="AE302">
        <v>1</v>
      </c>
      <c r="AF302" t="s">
        <v>3</v>
      </c>
      <c r="AG302">
        <v>6.48</v>
      </c>
      <c r="AH302">
        <v>2</v>
      </c>
      <c r="AI302">
        <v>65171996</v>
      </c>
      <c r="AJ302">
        <v>293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ROW(Source!A292)</f>
        <v>292</v>
      </c>
      <c r="B303">
        <v>65172002</v>
      </c>
      <c r="C303">
        <v>65171999</v>
      </c>
      <c r="D303">
        <v>56217421</v>
      </c>
      <c r="E303">
        <v>108</v>
      </c>
      <c r="F303">
        <v>1</v>
      </c>
      <c r="G303">
        <v>1</v>
      </c>
      <c r="H303">
        <v>1</v>
      </c>
      <c r="I303" t="s">
        <v>757</v>
      </c>
      <c r="J303" t="s">
        <v>3</v>
      </c>
      <c r="K303" t="s">
        <v>758</v>
      </c>
      <c r="L303">
        <v>1369</v>
      </c>
      <c r="N303">
        <v>1013</v>
      </c>
      <c r="O303" t="s">
        <v>699</v>
      </c>
      <c r="P303" t="s">
        <v>699</v>
      </c>
      <c r="Q303">
        <v>1</v>
      </c>
      <c r="X303">
        <v>0.81</v>
      </c>
      <c r="Y303">
        <v>0</v>
      </c>
      <c r="Z303">
        <v>0</v>
      </c>
      <c r="AA303">
        <v>0</v>
      </c>
      <c r="AB303">
        <v>658.94</v>
      </c>
      <c r="AC303">
        <v>0</v>
      </c>
      <c r="AD303">
        <v>1</v>
      </c>
      <c r="AE303">
        <v>1</v>
      </c>
      <c r="AF303" t="s">
        <v>3</v>
      </c>
      <c r="AG303">
        <v>0.81</v>
      </c>
      <c r="AH303">
        <v>2</v>
      </c>
      <c r="AI303">
        <v>65172000</v>
      </c>
      <c r="AJ303">
        <v>294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ROW(Source!A292)</f>
        <v>292</v>
      </c>
      <c r="B304">
        <v>65172003</v>
      </c>
      <c r="C304">
        <v>65171999</v>
      </c>
      <c r="D304">
        <v>56217452</v>
      </c>
      <c r="E304">
        <v>108</v>
      </c>
      <c r="F304">
        <v>1</v>
      </c>
      <c r="G304">
        <v>1</v>
      </c>
      <c r="H304">
        <v>1</v>
      </c>
      <c r="I304" t="s">
        <v>759</v>
      </c>
      <c r="J304" t="s">
        <v>3</v>
      </c>
      <c r="K304" t="s">
        <v>760</v>
      </c>
      <c r="L304">
        <v>1369</v>
      </c>
      <c r="N304">
        <v>1013</v>
      </c>
      <c r="O304" t="s">
        <v>699</v>
      </c>
      <c r="P304" t="s">
        <v>699</v>
      </c>
      <c r="Q304">
        <v>1</v>
      </c>
      <c r="X304">
        <v>0.81</v>
      </c>
      <c r="Y304">
        <v>0</v>
      </c>
      <c r="Z304">
        <v>0</v>
      </c>
      <c r="AA304">
        <v>0</v>
      </c>
      <c r="AB304">
        <v>644.29999999999995</v>
      </c>
      <c r="AC304">
        <v>0</v>
      </c>
      <c r="AD304">
        <v>1</v>
      </c>
      <c r="AE304">
        <v>1</v>
      </c>
      <c r="AF304" t="s">
        <v>3</v>
      </c>
      <c r="AG304">
        <v>0.81</v>
      </c>
      <c r="AH304">
        <v>2</v>
      </c>
      <c r="AI304">
        <v>65172001</v>
      </c>
      <c r="AJ304">
        <v>295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ROW(Source!A293)</f>
        <v>293</v>
      </c>
      <c r="B305">
        <v>65172007</v>
      </c>
      <c r="C305">
        <v>65172004</v>
      </c>
      <c r="D305">
        <v>56217418</v>
      </c>
      <c r="E305">
        <v>108</v>
      </c>
      <c r="F305">
        <v>1</v>
      </c>
      <c r="G305">
        <v>1</v>
      </c>
      <c r="H305">
        <v>1</v>
      </c>
      <c r="I305" t="s">
        <v>704</v>
      </c>
      <c r="J305" t="s">
        <v>3</v>
      </c>
      <c r="K305" t="s">
        <v>705</v>
      </c>
      <c r="L305">
        <v>1369</v>
      </c>
      <c r="N305">
        <v>1013</v>
      </c>
      <c r="O305" t="s">
        <v>699</v>
      </c>
      <c r="P305" t="s">
        <v>699</v>
      </c>
      <c r="Q305">
        <v>1</v>
      </c>
      <c r="X305">
        <v>0.97</v>
      </c>
      <c r="Y305">
        <v>0</v>
      </c>
      <c r="Z305">
        <v>0</v>
      </c>
      <c r="AA305">
        <v>0</v>
      </c>
      <c r="AB305">
        <v>563.76</v>
      </c>
      <c r="AC305">
        <v>0</v>
      </c>
      <c r="AD305">
        <v>1</v>
      </c>
      <c r="AE305">
        <v>1</v>
      </c>
      <c r="AF305" t="s">
        <v>3</v>
      </c>
      <c r="AG305">
        <v>0.97</v>
      </c>
      <c r="AH305">
        <v>2</v>
      </c>
      <c r="AI305">
        <v>65172005</v>
      </c>
      <c r="AJ305">
        <v>296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ROW(Source!A293)</f>
        <v>293</v>
      </c>
      <c r="B306">
        <v>65172008</v>
      </c>
      <c r="C306">
        <v>65172004</v>
      </c>
      <c r="D306">
        <v>56217448</v>
      </c>
      <c r="E306">
        <v>108</v>
      </c>
      <c r="F306">
        <v>1</v>
      </c>
      <c r="G306">
        <v>1</v>
      </c>
      <c r="H306">
        <v>1</v>
      </c>
      <c r="I306" t="s">
        <v>765</v>
      </c>
      <c r="J306" t="s">
        <v>3</v>
      </c>
      <c r="K306" t="s">
        <v>766</v>
      </c>
      <c r="L306">
        <v>1369</v>
      </c>
      <c r="N306">
        <v>1013</v>
      </c>
      <c r="O306" t="s">
        <v>699</v>
      </c>
      <c r="P306" t="s">
        <v>699</v>
      </c>
      <c r="Q306">
        <v>1</v>
      </c>
      <c r="X306">
        <v>1.46</v>
      </c>
      <c r="Y306">
        <v>0</v>
      </c>
      <c r="Z306">
        <v>0</v>
      </c>
      <c r="AA306">
        <v>0</v>
      </c>
      <c r="AB306">
        <v>717.52</v>
      </c>
      <c r="AC306">
        <v>0</v>
      </c>
      <c r="AD306">
        <v>1</v>
      </c>
      <c r="AE306">
        <v>1</v>
      </c>
      <c r="AF306" t="s">
        <v>3</v>
      </c>
      <c r="AG306">
        <v>1.46</v>
      </c>
      <c r="AH306">
        <v>2</v>
      </c>
      <c r="AI306">
        <v>65172006</v>
      </c>
      <c r="AJ306">
        <v>297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ROW(Source!A294)</f>
        <v>294</v>
      </c>
      <c r="B307">
        <v>65172013</v>
      </c>
      <c r="C307">
        <v>65172009</v>
      </c>
      <c r="D307">
        <v>56217415</v>
      </c>
      <c r="E307">
        <v>108</v>
      </c>
      <c r="F307">
        <v>1</v>
      </c>
      <c r="G307">
        <v>1</v>
      </c>
      <c r="H307">
        <v>1</v>
      </c>
      <c r="I307" t="s">
        <v>702</v>
      </c>
      <c r="J307" t="s">
        <v>3</v>
      </c>
      <c r="K307" t="s">
        <v>703</v>
      </c>
      <c r="L307">
        <v>1369</v>
      </c>
      <c r="N307">
        <v>1013</v>
      </c>
      <c r="O307" t="s">
        <v>699</v>
      </c>
      <c r="P307" t="s">
        <v>699</v>
      </c>
      <c r="Q307">
        <v>1</v>
      </c>
      <c r="X307">
        <v>1.62</v>
      </c>
      <c r="Y307">
        <v>0</v>
      </c>
      <c r="Z307">
        <v>0</v>
      </c>
      <c r="AA307">
        <v>0</v>
      </c>
      <c r="AB307">
        <v>490.55</v>
      </c>
      <c r="AC307">
        <v>0</v>
      </c>
      <c r="AD307">
        <v>1</v>
      </c>
      <c r="AE307">
        <v>1</v>
      </c>
      <c r="AF307" t="s">
        <v>3</v>
      </c>
      <c r="AG307">
        <v>1.62</v>
      </c>
      <c r="AH307">
        <v>2</v>
      </c>
      <c r="AI307">
        <v>65172010</v>
      </c>
      <c r="AJ307">
        <v>298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ROW(Source!A294)</f>
        <v>294</v>
      </c>
      <c r="B308">
        <v>65172014</v>
      </c>
      <c r="C308">
        <v>65172009</v>
      </c>
      <c r="D308">
        <v>56217437</v>
      </c>
      <c r="E308">
        <v>108</v>
      </c>
      <c r="F308">
        <v>1</v>
      </c>
      <c r="G308">
        <v>1</v>
      </c>
      <c r="H308">
        <v>1</v>
      </c>
      <c r="I308" t="s">
        <v>761</v>
      </c>
      <c r="J308" t="s">
        <v>3</v>
      </c>
      <c r="K308" t="s">
        <v>762</v>
      </c>
      <c r="L308">
        <v>1369</v>
      </c>
      <c r="N308">
        <v>1013</v>
      </c>
      <c r="O308" t="s">
        <v>699</v>
      </c>
      <c r="P308" t="s">
        <v>699</v>
      </c>
      <c r="Q308">
        <v>1</v>
      </c>
      <c r="X308">
        <v>1.62</v>
      </c>
      <c r="Y308">
        <v>0</v>
      </c>
      <c r="Z308">
        <v>0</v>
      </c>
      <c r="AA308">
        <v>0</v>
      </c>
      <c r="AB308">
        <v>468.58</v>
      </c>
      <c r="AC308">
        <v>0</v>
      </c>
      <c r="AD308">
        <v>1</v>
      </c>
      <c r="AE308">
        <v>1</v>
      </c>
      <c r="AF308" t="s">
        <v>3</v>
      </c>
      <c r="AG308">
        <v>1.62</v>
      </c>
      <c r="AH308">
        <v>2</v>
      </c>
      <c r="AI308">
        <v>65172011</v>
      </c>
      <c r="AJ308">
        <v>299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ROW(Source!A294)</f>
        <v>294</v>
      </c>
      <c r="B309">
        <v>65172015</v>
      </c>
      <c r="C309">
        <v>65172009</v>
      </c>
      <c r="D309">
        <v>56217448</v>
      </c>
      <c r="E309">
        <v>108</v>
      </c>
      <c r="F309">
        <v>1</v>
      </c>
      <c r="G309">
        <v>1</v>
      </c>
      <c r="H309">
        <v>1</v>
      </c>
      <c r="I309" t="s">
        <v>765</v>
      </c>
      <c r="J309" t="s">
        <v>3</v>
      </c>
      <c r="K309" t="s">
        <v>766</v>
      </c>
      <c r="L309">
        <v>1369</v>
      </c>
      <c r="N309">
        <v>1013</v>
      </c>
      <c r="O309" t="s">
        <v>699</v>
      </c>
      <c r="P309" t="s">
        <v>699</v>
      </c>
      <c r="Q309">
        <v>1</v>
      </c>
      <c r="X309">
        <v>4.8600000000000003</v>
      </c>
      <c r="Y309">
        <v>0</v>
      </c>
      <c r="Z309">
        <v>0</v>
      </c>
      <c r="AA309">
        <v>0</v>
      </c>
      <c r="AB309">
        <v>717.52</v>
      </c>
      <c r="AC309">
        <v>0</v>
      </c>
      <c r="AD309">
        <v>1</v>
      </c>
      <c r="AE309">
        <v>1</v>
      </c>
      <c r="AF309" t="s">
        <v>3</v>
      </c>
      <c r="AG309">
        <v>4.8600000000000003</v>
      </c>
      <c r="AH309">
        <v>2</v>
      </c>
      <c r="AI309">
        <v>65172012</v>
      </c>
      <c r="AJ309">
        <v>300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ROW(Source!A295)</f>
        <v>295</v>
      </c>
      <c r="B310">
        <v>65172020</v>
      </c>
      <c r="C310">
        <v>65172016</v>
      </c>
      <c r="D310">
        <v>56217415</v>
      </c>
      <c r="E310">
        <v>108</v>
      </c>
      <c r="F310">
        <v>1</v>
      </c>
      <c r="G310">
        <v>1</v>
      </c>
      <c r="H310">
        <v>1</v>
      </c>
      <c r="I310" t="s">
        <v>702</v>
      </c>
      <c r="J310" t="s">
        <v>3</v>
      </c>
      <c r="K310" t="s">
        <v>703</v>
      </c>
      <c r="L310">
        <v>1369</v>
      </c>
      <c r="N310">
        <v>1013</v>
      </c>
      <c r="O310" t="s">
        <v>699</v>
      </c>
      <c r="P310" t="s">
        <v>699</v>
      </c>
      <c r="Q310">
        <v>1</v>
      </c>
      <c r="X310">
        <v>1.08</v>
      </c>
      <c r="Y310">
        <v>0</v>
      </c>
      <c r="Z310">
        <v>0</v>
      </c>
      <c r="AA310">
        <v>0</v>
      </c>
      <c r="AB310">
        <v>490.55</v>
      </c>
      <c r="AC310">
        <v>0</v>
      </c>
      <c r="AD310">
        <v>1</v>
      </c>
      <c r="AE310">
        <v>1</v>
      </c>
      <c r="AF310" t="s">
        <v>3</v>
      </c>
      <c r="AG310">
        <v>1.08</v>
      </c>
      <c r="AH310">
        <v>2</v>
      </c>
      <c r="AI310">
        <v>65172017</v>
      </c>
      <c r="AJ310">
        <v>301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ROW(Source!A295)</f>
        <v>295</v>
      </c>
      <c r="B311">
        <v>65172021</v>
      </c>
      <c r="C311">
        <v>65172016</v>
      </c>
      <c r="D311">
        <v>56217437</v>
      </c>
      <c r="E311">
        <v>108</v>
      </c>
      <c r="F311">
        <v>1</v>
      </c>
      <c r="G311">
        <v>1</v>
      </c>
      <c r="H311">
        <v>1</v>
      </c>
      <c r="I311" t="s">
        <v>761</v>
      </c>
      <c r="J311" t="s">
        <v>3</v>
      </c>
      <c r="K311" t="s">
        <v>762</v>
      </c>
      <c r="L311">
        <v>1369</v>
      </c>
      <c r="N311">
        <v>1013</v>
      </c>
      <c r="O311" t="s">
        <v>699</v>
      </c>
      <c r="P311" t="s">
        <v>699</v>
      </c>
      <c r="Q311">
        <v>1</v>
      </c>
      <c r="X311">
        <v>1.08</v>
      </c>
      <c r="Y311">
        <v>0</v>
      </c>
      <c r="Z311">
        <v>0</v>
      </c>
      <c r="AA311">
        <v>0</v>
      </c>
      <c r="AB311">
        <v>468.58</v>
      </c>
      <c r="AC311">
        <v>0</v>
      </c>
      <c r="AD311">
        <v>1</v>
      </c>
      <c r="AE311">
        <v>1</v>
      </c>
      <c r="AF311" t="s">
        <v>3</v>
      </c>
      <c r="AG311">
        <v>1.08</v>
      </c>
      <c r="AH311">
        <v>2</v>
      </c>
      <c r="AI311">
        <v>65172018</v>
      </c>
      <c r="AJ311">
        <v>302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ROW(Source!A295)</f>
        <v>295</v>
      </c>
      <c r="B312">
        <v>65172022</v>
      </c>
      <c r="C312">
        <v>65172016</v>
      </c>
      <c r="D312">
        <v>56217448</v>
      </c>
      <c r="E312">
        <v>108</v>
      </c>
      <c r="F312">
        <v>1</v>
      </c>
      <c r="G312">
        <v>1</v>
      </c>
      <c r="H312">
        <v>1</v>
      </c>
      <c r="I312" t="s">
        <v>765</v>
      </c>
      <c r="J312" t="s">
        <v>3</v>
      </c>
      <c r="K312" t="s">
        <v>766</v>
      </c>
      <c r="L312">
        <v>1369</v>
      </c>
      <c r="N312">
        <v>1013</v>
      </c>
      <c r="O312" t="s">
        <v>699</v>
      </c>
      <c r="P312" t="s">
        <v>699</v>
      </c>
      <c r="Q312">
        <v>1</v>
      </c>
      <c r="X312">
        <v>3.24</v>
      </c>
      <c r="Y312">
        <v>0</v>
      </c>
      <c r="Z312">
        <v>0</v>
      </c>
      <c r="AA312">
        <v>0</v>
      </c>
      <c r="AB312">
        <v>717.52</v>
      </c>
      <c r="AC312">
        <v>0</v>
      </c>
      <c r="AD312">
        <v>1</v>
      </c>
      <c r="AE312">
        <v>1</v>
      </c>
      <c r="AF312" t="s">
        <v>3</v>
      </c>
      <c r="AG312">
        <v>3.24</v>
      </c>
      <c r="AH312">
        <v>2</v>
      </c>
      <c r="AI312">
        <v>65172019</v>
      </c>
      <c r="AJ312">
        <v>303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ROW(Source!A296)</f>
        <v>296</v>
      </c>
      <c r="B313">
        <v>65172026</v>
      </c>
      <c r="C313">
        <v>65172023</v>
      </c>
      <c r="D313">
        <v>56217415</v>
      </c>
      <c r="E313">
        <v>108</v>
      </c>
      <c r="F313">
        <v>1</v>
      </c>
      <c r="G313">
        <v>1</v>
      </c>
      <c r="H313">
        <v>1</v>
      </c>
      <c r="I313" t="s">
        <v>702</v>
      </c>
      <c r="J313" t="s">
        <v>3</v>
      </c>
      <c r="K313" t="s">
        <v>703</v>
      </c>
      <c r="L313">
        <v>1369</v>
      </c>
      <c r="N313">
        <v>1013</v>
      </c>
      <c r="O313" t="s">
        <v>699</v>
      </c>
      <c r="P313" t="s">
        <v>699</v>
      </c>
      <c r="Q313">
        <v>1</v>
      </c>
      <c r="X313">
        <v>1.08</v>
      </c>
      <c r="Y313">
        <v>0</v>
      </c>
      <c r="Z313">
        <v>0</v>
      </c>
      <c r="AA313">
        <v>0</v>
      </c>
      <c r="AB313">
        <v>490.55</v>
      </c>
      <c r="AC313">
        <v>0</v>
      </c>
      <c r="AD313">
        <v>1</v>
      </c>
      <c r="AE313">
        <v>1</v>
      </c>
      <c r="AF313" t="s">
        <v>3</v>
      </c>
      <c r="AG313">
        <v>1.08</v>
      </c>
      <c r="AH313">
        <v>2</v>
      </c>
      <c r="AI313">
        <v>65172024</v>
      </c>
      <c r="AJ313">
        <v>304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ROW(Source!A296)</f>
        <v>296</v>
      </c>
      <c r="B314">
        <v>65172027</v>
      </c>
      <c r="C314">
        <v>65172023</v>
      </c>
      <c r="D314">
        <v>56217448</v>
      </c>
      <c r="E314">
        <v>108</v>
      </c>
      <c r="F314">
        <v>1</v>
      </c>
      <c r="G314">
        <v>1</v>
      </c>
      <c r="H314">
        <v>1</v>
      </c>
      <c r="I314" t="s">
        <v>765</v>
      </c>
      <c r="J314" t="s">
        <v>3</v>
      </c>
      <c r="K314" t="s">
        <v>766</v>
      </c>
      <c r="L314">
        <v>1369</v>
      </c>
      <c r="N314">
        <v>1013</v>
      </c>
      <c r="O314" t="s">
        <v>699</v>
      </c>
      <c r="P314" t="s">
        <v>699</v>
      </c>
      <c r="Q314">
        <v>1</v>
      </c>
      <c r="X314">
        <v>1.62</v>
      </c>
      <c r="Y314">
        <v>0</v>
      </c>
      <c r="Z314">
        <v>0</v>
      </c>
      <c r="AA314">
        <v>0</v>
      </c>
      <c r="AB314">
        <v>717.52</v>
      </c>
      <c r="AC314">
        <v>0</v>
      </c>
      <c r="AD314">
        <v>1</v>
      </c>
      <c r="AE314">
        <v>1</v>
      </c>
      <c r="AF314" t="s">
        <v>3</v>
      </c>
      <c r="AG314">
        <v>1.62</v>
      </c>
      <c r="AH314">
        <v>2</v>
      </c>
      <c r="AI314">
        <v>65172025</v>
      </c>
      <c r="AJ314">
        <v>305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ROW(Source!A297)</f>
        <v>297</v>
      </c>
      <c r="B315">
        <v>65172031</v>
      </c>
      <c r="C315">
        <v>65172028</v>
      </c>
      <c r="D315">
        <v>56217421</v>
      </c>
      <c r="E315">
        <v>108</v>
      </c>
      <c r="F315">
        <v>1</v>
      </c>
      <c r="G315">
        <v>1</v>
      </c>
      <c r="H315">
        <v>1</v>
      </c>
      <c r="I315" t="s">
        <v>757</v>
      </c>
      <c r="J315" t="s">
        <v>3</v>
      </c>
      <c r="K315" t="s">
        <v>758</v>
      </c>
      <c r="L315">
        <v>1369</v>
      </c>
      <c r="N315">
        <v>1013</v>
      </c>
      <c r="O315" t="s">
        <v>699</v>
      </c>
      <c r="P315" t="s">
        <v>699</v>
      </c>
      <c r="Q315">
        <v>1</v>
      </c>
      <c r="X315">
        <v>0.81</v>
      </c>
      <c r="Y315">
        <v>0</v>
      </c>
      <c r="Z315">
        <v>0</v>
      </c>
      <c r="AA315">
        <v>0</v>
      </c>
      <c r="AB315">
        <v>658.94</v>
      </c>
      <c r="AC315">
        <v>0</v>
      </c>
      <c r="AD315">
        <v>1</v>
      </c>
      <c r="AE315">
        <v>1</v>
      </c>
      <c r="AF315" t="s">
        <v>3</v>
      </c>
      <c r="AG315">
        <v>0.81</v>
      </c>
      <c r="AH315">
        <v>2</v>
      </c>
      <c r="AI315">
        <v>65172029</v>
      </c>
      <c r="AJ315">
        <v>306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ROW(Source!A297)</f>
        <v>297</v>
      </c>
      <c r="B316">
        <v>65172032</v>
      </c>
      <c r="C316">
        <v>65172028</v>
      </c>
      <c r="D316">
        <v>56217452</v>
      </c>
      <c r="E316">
        <v>108</v>
      </c>
      <c r="F316">
        <v>1</v>
      </c>
      <c r="G316">
        <v>1</v>
      </c>
      <c r="H316">
        <v>1</v>
      </c>
      <c r="I316" t="s">
        <v>759</v>
      </c>
      <c r="J316" t="s">
        <v>3</v>
      </c>
      <c r="K316" t="s">
        <v>760</v>
      </c>
      <c r="L316">
        <v>1369</v>
      </c>
      <c r="N316">
        <v>1013</v>
      </c>
      <c r="O316" t="s">
        <v>699</v>
      </c>
      <c r="P316" t="s">
        <v>699</v>
      </c>
      <c r="Q316">
        <v>1</v>
      </c>
      <c r="X316">
        <v>0.81</v>
      </c>
      <c r="Y316">
        <v>0</v>
      </c>
      <c r="Z316">
        <v>0</v>
      </c>
      <c r="AA316">
        <v>0</v>
      </c>
      <c r="AB316">
        <v>644.29999999999995</v>
      </c>
      <c r="AC316">
        <v>0</v>
      </c>
      <c r="AD316">
        <v>1</v>
      </c>
      <c r="AE316">
        <v>1</v>
      </c>
      <c r="AF316" t="s">
        <v>3</v>
      </c>
      <c r="AG316">
        <v>0.81</v>
      </c>
      <c r="AH316">
        <v>2</v>
      </c>
      <c r="AI316">
        <v>65172030</v>
      </c>
      <c r="AJ316">
        <v>307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ROW(Source!A298)</f>
        <v>298</v>
      </c>
      <c r="B317">
        <v>65172036</v>
      </c>
      <c r="C317">
        <v>65172033</v>
      </c>
      <c r="D317">
        <v>56217415</v>
      </c>
      <c r="E317">
        <v>108</v>
      </c>
      <c r="F317">
        <v>1</v>
      </c>
      <c r="G317">
        <v>1</v>
      </c>
      <c r="H317">
        <v>1</v>
      </c>
      <c r="I317" t="s">
        <v>702</v>
      </c>
      <c r="J317" t="s">
        <v>3</v>
      </c>
      <c r="K317" t="s">
        <v>703</v>
      </c>
      <c r="L317">
        <v>1369</v>
      </c>
      <c r="N317">
        <v>1013</v>
      </c>
      <c r="O317" t="s">
        <v>699</v>
      </c>
      <c r="P317" t="s">
        <v>699</v>
      </c>
      <c r="Q317">
        <v>1</v>
      </c>
      <c r="X317">
        <v>3.6</v>
      </c>
      <c r="Y317">
        <v>0</v>
      </c>
      <c r="Z317">
        <v>0</v>
      </c>
      <c r="AA317">
        <v>0</v>
      </c>
      <c r="AB317">
        <v>490.55</v>
      </c>
      <c r="AC317">
        <v>0</v>
      </c>
      <c r="AD317">
        <v>1</v>
      </c>
      <c r="AE317">
        <v>1</v>
      </c>
      <c r="AF317" t="s">
        <v>3</v>
      </c>
      <c r="AG317">
        <v>3.6</v>
      </c>
      <c r="AH317">
        <v>2</v>
      </c>
      <c r="AI317">
        <v>65172034</v>
      </c>
      <c r="AJ317">
        <v>308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ROW(Source!A298)</f>
        <v>298</v>
      </c>
      <c r="B318">
        <v>65172037</v>
      </c>
      <c r="C318">
        <v>65172033</v>
      </c>
      <c r="D318">
        <v>56217437</v>
      </c>
      <c r="E318">
        <v>108</v>
      </c>
      <c r="F318">
        <v>1</v>
      </c>
      <c r="G318">
        <v>1</v>
      </c>
      <c r="H318">
        <v>1</v>
      </c>
      <c r="I318" t="s">
        <v>761</v>
      </c>
      <c r="J318" t="s">
        <v>3</v>
      </c>
      <c r="K318" t="s">
        <v>762</v>
      </c>
      <c r="L318">
        <v>1369</v>
      </c>
      <c r="N318">
        <v>1013</v>
      </c>
      <c r="O318" t="s">
        <v>699</v>
      </c>
      <c r="P318" t="s">
        <v>699</v>
      </c>
      <c r="Q318">
        <v>1</v>
      </c>
      <c r="X318">
        <v>3.6</v>
      </c>
      <c r="Y318">
        <v>0</v>
      </c>
      <c r="Z318">
        <v>0</v>
      </c>
      <c r="AA318">
        <v>0</v>
      </c>
      <c r="AB318">
        <v>468.58</v>
      </c>
      <c r="AC318">
        <v>0</v>
      </c>
      <c r="AD318">
        <v>1</v>
      </c>
      <c r="AE318">
        <v>1</v>
      </c>
      <c r="AF318" t="s">
        <v>3</v>
      </c>
      <c r="AG318">
        <v>3.6</v>
      </c>
      <c r="AH318">
        <v>2</v>
      </c>
      <c r="AI318">
        <v>65172035</v>
      </c>
      <c r="AJ318">
        <v>309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ROW(Source!A299)</f>
        <v>299</v>
      </c>
      <c r="B319">
        <v>65172041</v>
      </c>
      <c r="C319">
        <v>65172038</v>
      </c>
      <c r="D319">
        <v>56217421</v>
      </c>
      <c r="E319">
        <v>108</v>
      </c>
      <c r="F319">
        <v>1</v>
      </c>
      <c r="G319">
        <v>1</v>
      </c>
      <c r="H319">
        <v>1</v>
      </c>
      <c r="I319" t="s">
        <v>757</v>
      </c>
      <c r="J319" t="s">
        <v>3</v>
      </c>
      <c r="K319" t="s">
        <v>758</v>
      </c>
      <c r="L319">
        <v>1369</v>
      </c>
      <c r="N319">
        <v>1013</v>
      </c>
      <c r="O319" t="s">
        <v>699</v>
      </c>
      <c r="P319" t="s">
        <v>699</v>
      </c>
      <c r="Q319">
        <v>1</v>
      </c>
      <c r="X319">
        <v>0.5</v>
      </c>
      <c r="Y319">
        <v>0</v>
      </c>
      <c r="Z319">
        <v>0</v>
      </c>
      <c r="AA319">
        <v>0</v>
      </c>
      <c r="AB319">
        <v>658.94</v>
      </c>
      <c r="AC319">
        <v>0</v>
      </c>
      <c r="AD319">
        <v>1</v>
      </c>
      <c r="AE319">
        <v>1</v>
      </c>
      <c r="AF319" t="s">
        <v>3</v>
      </c>
      <c r="AG319">
        <v>0.5</v>
      </c>
      <c r="AH319">
        <v>2</v>
      </c>
      <c r="AI319">
        <v>65172039</v>
      </c>
      <c r="AJ319">
        <v>310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ROW(Source!A299)</f>
        <v>299</v>
      </c>
      <c r="B320">
        <v>65172042</v>
      </c>
      <c r="C320">
        <v>65172038</v>
      </c>
      <c r="D320">
        <v>56217452</v>
      </c>
      <c r="E320">
        <v>108</v>
      </c>
      <c r="F320">
        <v>1</v>
      </c>
      <c r="G320">
        <v>1</v>
      </c>
      <c r="H320">
        <v>1</v>
      </c>
      <c r="I320" t="s">
        <v>759</v>
      </c>
      <c r="J320" t="s">
        <v>3</v>
      </c>
      <c r="K320" t="s">
        <v>760</v>
      </c>
      <c r="L320">
        <v>1369</v>
      </c>
      <c r="N320">
        <v>1013</v>
      </c>
      <c r="O320" t="s">
        <v>699</v>
      </c>
      <c r="P320" t="s">
        <v>699</v>
      </c>
      <c r="Q320">
        <v>1</v>
      </c>
      <c r="X320">
        <v>0.5</v>
      </c>
      <c r="Y320">
        <v>0</v>
      </c>
      <c r="Z320">
        <v>0</v>
      </c>
      <c r="AA320">
        <v>0</v>
      </c>
      <c r="AB320">
        <v>644.29999999999995</v>
      </c>
      <c r="AC320">
        <v>0</v>
      </c>
      <c r="AD320">
        <v>1</v>
      </c>
      <c r="AE320">
        <v>1</v>
      </c>
      <c r="AF320" t="s">
        <v>3</v>
      </c>
      <c r="AG320">
        <v>0.5</v>
      </c>
      <c r="AH320">
        <v>2</v>
      </c>
      <c r="AI320">
        <v>65172040</v>
      </c>
      <c r="AJ320">
        <v>311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ROW(Source!A300)</f>
        <v>300</v>
      </c>
      <c r="B321">
        <v>65172046</v>
      </c>
      <c r="C321">
        <v>65172043</v>
      </c>
      <c r="D321">
        <v>56217437</v>
      </c>
      <c r="E321">
        <v>108</v>
      </c>
      <c r="F321">
        <v>1</v>
      </c>
      <c r="G321">
        <v>1</v>
      </c>
      <c r="H321">
        <v>1</v>
      </c>
      <c r="I321" t="s">
        <v>761</v>
      </c>
      <c r="J321" t="s">
        <v>3</v>
      </c>
      <c r="K321" t="s">
        <v>762</v>
      </c>
      <c r="L321">
        <v>1369</v>
      </c>
      <c r="N321">
        <v>1013</v>
      </c>
      <c r="O321" t="s">
        <v>699</v>
      </c>
      <c r="P321" t="s">
        <v>699</v>
      </c>
      <c r="Q321">
        <v>1</v>
      </c>
      <c r="X321">
        <v>0.52</v>
      </c>
      <c r="Y321">
        <v>0</v>
      </c>
      <c r="Z321">
        <v>0</v>
      </c>
      <c r="AA321">
        <v>0</v>
      </c>
      <c r="AB321">
        <v>468.58</v>
      </c>
      <c r="AC321">
        <v>0</v>
      </c>
      <c r="AD321">
        <v>1</v>
      </c>
      <c r="AE321">
        <v>1</v>
      </c>
      <c r="AF321" t="s">
        <v>3</v>
      </c>
      <c r="AG321">
        <v>0.52</v>
      </c>
      <c r="AH321">
        <v>2</v>
      </c>
      <c r="AI321">
        <v>65172044</v>
      </c>
      <c r="AJ321">
        <v>312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ROW(Source!A300)</f>
        <v>300</v>
      </c>
      <c r="B322">
        <v>65172047</v>
      </c>
      <c r="C322">
        <v>65172043</v>
      </c>
      <c r="D322">
        <v>56217448</v>
      </c>
      <c r="E322">
        <v>108</v>
      </c>
      <c r="F322">
        <v>1</v>
      </c>
      <c r="G322">
        <v>1</v>
      </c>
      <c r="H322">
        <v>1</v>
      </c>
      <c r="I322" t="s">
        <v>765</v>
      </c>
      <c r="J322" t="s">
        <v>3</v>
      </c>
      <c r="K322" t="s">
        <v>766</v>
      </c>
      <c r="L322">
        <v>1369</v>
      </c>
      <c r="N322">
        <v>1013</v>
      </c>
      <c r="O322" t="s">
        <v>699</v>
      </c>
      <c r="P322" t="s">
        <v>699</v>
      </c>
      <c r="Q322">
        <v>1</v>
      </c>
      <c r="X322">
        <v>0.78</v>
      </c>
      <c r="Y322">
        <v>0</v>
      </c>
      <c r="Z322">
        <v>0</v>
      </c>
      <c r="AA322">
        <v>0</v>
      </c>
      <c r="AB322">
        <v>717.52</v>
      </c>
      <c r="AC322">
        <v>0</v>
      </c>
      <c r="AD322">
        <v>1</v>
      </c>
      <c r="AE322">
        <v>1</v>
      </c>
      <c r="AF322" t="s">
        <v>3</v>
      </c>
      <c r="AG322">
        <v>0.78</v>
      </c>
      <c r="AH322">
        <v>2</v>
      </c>
      <c r="AI322">
        <v>65172045</v>
      </c>
      <c r="AJ322">
        <v>313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ROW(Source!A301)</f>
        <v>301</v>
      </c>
      <c r="B323">
        <v>65172051</v>
      </c>
      <c r="C323">
        <v>65172048</v>
      </c>
      <c r="D323">
        <v>56217418</v>
      </c>
      <c r="E323">
        <v>108</v>
      </c>
      <c r="F323">
        <v>1</v>
      </c>
      <c r="G323">
        <v>1</v>
      </c>
      <c r="H323">
        <v>1</v>
      </c>
      <c r="I323" t="s">
        <v>704</v>
      </c>
      <c r="J323" t="s">
        <v>3</v>
      </c>
      <c r="K323" t="s">
        <v>705</v>
      </c>
      <c r="L323">
        <v>1369</v>
      </c>
      <c r="N323">
        <v>1013</v>
      </c>
      <c r="O323" t="s">
        <v>699</v>
      </c>
      <c r="P323" t="s">
        <v>699</v>
      </c>
      <c r="Q323">
        <v>1</v>
      </c>
      <c r="X323">
        <v>0.97</v>
      </c>
      <c r="Y323">
        <v>0</v>
      </c>
      <c r="Z323">
        <v>0</v>
      </c>
      <c r="AA323">
        <v>0</v>
      </c>
      <c r="AB323">
        <v>563.76</v>
      </c>
      <c r="AC323">
        <v>0</v>
      </c>
      <c r="AD323">
        <v>1</v>
      </c>
      <c r="AE323">
        <v>1</v>
      </c>
      <c r="AF323" t="s">
        <v>3</v>
      </c>
      <c r="AG323">
        <v>0.97</v>
      </c>
      <c r="AH323">
        <v>2</v>
      </c>
      <c r="AI323">
        <v>65172049</v>
      </c>
      <c r="AJ323">
        <v>314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ROW(Source!A301)</f>
        <v>301</v>
      </c>
      <c r="B324">
        <v>65172052</v>
      </c>
      <c r="C324">
        <v>65172048</v>
      </c>
      <c r="D324">
        <v>56217448</v>
      </c>
      <c r="E324">
        <v>108</v>
      </c>
      <c r="F324">
        <v>1</v>
      </c>
      <c r="G324">
        <v>1</v>
      </c>
      <c r="H324">
        <v>1</v>
      </c>
      <c r="I324" t="s">
        <v>765</v>
      </c>
      <c r="J324" t="s">
        <v>3</v>
      </c>
      <c r="K324" t="s">
        <v>766</v>
      </c>
      <c r="L324">
        <v>1369</v>
      </c>
      <c r="N324">
        <v>1013</v>
      </c>
      <c r="O324" t="s">
        <v>699</v>
      </c>
      <c r="P324" t="s">
        <v>699</v>
      </c>
      <c r="Q324">
        <v>1</v>
      </c>
      <c r="X324">
        <v>1.46</v>
      </c>
      <c r="Y324">
        <v>0</v>
      </c>
      <c r="Z324">
        <v>0</v>
      </c>
      <c r="AA324">
        <v>0</v>
      </c>
      <c r="AB324">
        <v>717.52</v>
      </c>
      <c r="AC324">
        <v>0</v>
      </c>
      <c r="AD324">
        <v>1</v>
      </c>
      <c r="AE324">
        <v>1</v>
      </c>
      <c r="AF324" t="s">
        <v>3</v>
      </c>
      <c r="AG324">
        <v>1.46</v>
      </c>
      <c r="AH324">
        <v>2</v>
      </c>
      <c r="AI324">
        <v>65172050</v>
      </c>
      <c r="AJ324">
        <v>315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ROW(Source!A302)</f>
        <v>302</v>
      </c>
      <c r="B325">
        <v>65172056</v>
      </c>
      <c r="C325">
        <v>65172053</v>
      </c>
      <c r="D325">
        <v>56217418</v>
      </c>
      <c r="E325">
        <v>108</v>
      </c>
      <c r="F325">
        <v>1</v>
      </c>
      <c r="G325">
        <v>1</v>
      </c>
      <c r="H325">
        <v>1</v>
      </c>
      <c r="I325" t="s">
        <v>704</v>
      </c>
      <c r="J325" t="s">
        <v>3</v>
      </c>
      <c r="K325" t="s">
        <v>705</v>
      </c>
      <c r="L325">
        <v>1369</v>
      </c>
      <c r="N325">
        <v>1013</v>
      </c>
      <c r="O325" t="s">
        <v>699</v>
      </c>
      <c r="P325" t="s">
        <v>699</v>
      </c>
      <c r="Q325">
        <v>1</v>
      </c>
      <c r="X325">
        <v>0.65</v>
      </c>
      <c r="Y325">
        <v>0</v>
      </c>
      <c r="Z325">
        <v>0</v>
      </c>
      <c r="AA325">
        <v>0</v>
      </c>
      <c r="AB325">
        <v>563.76</v>
      </c>
      <c r="AC325">
        <v>0</v>
      </c>
      <c r="AD325">
        <v>1</v>
      </c>
      <c r="AE325">
        <v>1</v>
      </c>
      <c r="AF325" t="s">
        <v>3</v>
      </c>
      <c r="AG325">
        <v>0.65</v>
      </c>
      <c r="AH325">
        <v>2</v>
      </c>
      <c r="AI325">
        <v>65172054</v>
      </c>
      <c r="AJ325">
        <v>316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ROW(Source!A302)</f>
        <v>302</v>
      </c>
      <c r="B326">
        <v>65172057</v>
      </c>
      <c r="C326">
        <v>65172053</v>
      </c>
      <c r="D326">
        <v>56217448</v>
      </c>
      <c r="E326">
        <v>108</v>
      </c>
      <c r="F326">
        <v>1</v>
      </c>
      <c r="G326">
        <v>1</v>
      </c>
      <c r="H326">
        <v>1</v>
      </c>
      <c r="I326" t="s">
        <v>765</v>
      </c>
      <c r="J326" t="s">
        <v>3</v>
      </c>
      <c r="K326" t="s">
        <v>766</v>
      </c>
      <c r="L326">
        <v>1369</v>
      </c>
      <c r="N326">
        <v>1013</v>
      </c>
      <c r="O326" t="s">
        <v>699</v>
      </c>
      <c r="P326" t="s">
        <v>699</v>
      </c>
      <c r="Q326">
        <v>1</v>
      </c>
      <c r="X326">
        <v>0.97</v>
      </c>
      <c r="Y326">
        <v>0</v>
      </c>
      <c r="Z326">
        <v>0</v>
      </c>
      <c r="AA326">
        <v>0</v>
      </c>
      <c r="AB326">
        <v>717.52</v>
      </c>
      <c r="AC326">
        <v>0</v>
      </c>
      <c r="AD326">
        <v>1</v>
      </c>
      <c r="AE326">
        <v>1</v>
      </c>
      <c r="AF326" t="s">
        <v>3</v>
      </c>
      <c r="AG326">
        <v>0.97</v>
      </c>
      <c r="AH326">
        <v>2</v>
      </c>
      <c r="AI326">
        <v>65172055</v>
      </c>
      <c r="AJ326">
        <v>317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ROW(Source!A303)</f>
        <v>303</v>
      </c>
      <c r="B327">
        <v>65172061</v>
      </c>
      <c r="C327">
        <v>65172058</v>
      </c>
      <c r="D327">
        <v>56217421</v>
      </c>
      <c r="E327">
        <v>108</v>
      </c>
      <c r="F327">
        <v>1</v>
      </c>
      <c r="G327">
        <v>1</v>
      </c>
      <c r="H327">
        <v>1</v>
      </c>
      <c r="I327" t="s">
        <v>757</v>
      </c>
      <c r="J327" t="s">
        <v>3</v>
      </c>
      <c r="K327" t="s">
        <v>758</v>
      </c>
      <c r="L327">
        <v>1369</v>
      </c>
      <c r="N327">
        <v>1013</v>
      </c>
      <c r="O327" t="s">
        <v>699</v>
      </c>
      <c r="P327" t="s">
        <v>699</v>
      </c>
      <c r="Q327">
        <v>1</v>
      </c>
      <c r="X327">
        <v>0.5</v>
      </c>
      <c r="Y327">
        <v>0</v>
      </c>
      <c r="Z327">
        <v>0</v>
      </c>
      <c r="AA327">
        <v>0</v>
      </c>
      <c r="AB327">
        <v>658.94</v>
      </c>
      <c r="AC327">
        <v>0</v>
      </c>
      <c r="AD327">
        <v>1</v>
      </c>
      <c r="AE327">
        <v>1</v>
      </c>
      <c r="AF327" t="s">
        <v>3</v>
      </c>
      <c r="AG327">
        <v>0.5</v>
      </c>
      <c r="AH327">
        <v>2</v>
      </c>
      <c r="AI327">
        <v>65172059</v>
      </c>
      <c r="AJ327">
        <v>318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ROW(Source!A303)</f>
        <v>303</v>
      </c>
      <c r="B328">
        <v>65172062</v>
      </c>
      <c r="C328">
        <v>65172058</v>
      </c>
      <c r="D328">
        <v>56217452</v>
      </c>
      <c r="E328">
        <v>108</v>
      </c>
      <c r="F328">
        <v>1</v>
      </c>
      <c r="G328">
        <v>1</v>
      </c>
      <c r="H328">
        <v>1</v>
      </c>
      <c r="I328" t="s">
        <v>759</v>
      </c>
      <c r="J328" t="s">
        <v>3</v>
      </c>
      <c r="K328" t="s">
        <v>760</v>
      </c>
      <c r="L328">
        <v>1369</v>
      </c>
      <c r="N328">
        <v>1013</v>
      </c>
      <c r="O328" t="s">
        <v>699</v>
      </c>
      <c r="P328" t="s">
        <v>699</v>
      </c>
      <c r="Q328">
        <v>1</v>
      </c>
      <c r="X328">
        <v>0.5</v>
      </c>
      <c r="Y328">
        <v>0</v>
      </c>
      <c r="Z328">
        <v>0</v>
      </c>
      <c r="AA328">
        <v>0</v>
      </c>
      <c r="AB328">
        <v>644.29999999999995</v>
      </c>
      <c r="AC328">
        <v>0</v>
      </c>
      <c r="AD328">
        <v>1</v>
      </c>
      <c r="AE328">
        <v>1</v>
      </c>
      <c r="AF328" t="s">
        <v>3</v>
      </c>
      <c r="AG328">
        <v>0.5</v>
      </c>
      <c r="AH328">
        <v>2</v>
      </c>
      <c r="AI328">
        <v>65172060</v>
      </c>
      <c r="AJ328">
        <v>319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ROW(Source!A304)</f>
        <v>304</v>
      </c>
      <c r="B329">
        <v>65172066</v>
      </c>
      <c r="C329">
        <v>65172063</v>
      </c>
      <c r="D329">
        <v>56217421</v>
      </c>
      <c r="E329">
        <v>108</v>
      </c>
      <c r="F329">
        <v>1</v>
      </c>
      <c r="G329">
        <v>1</v>
      </c>
      <c r="H329">
        <v>1</v>
      </c>
      <c r="I329" t="s">
        <v>757</v>
      </c>
      <c r="J329" t="s">
        <v>3</v>
      </c>
      <c r="K329" t="s">
        <v>758</v>
      </c>
      <c r="L329">
        <v>1369</v>
      </c>
      <c r="N329">
        <v>1013</v>
      </c>
      <c r="O329" t="s">
        <v>699</v>
      </c>
      <c r="P329" t="s">
        <v>699</v>
      </c>
      <c r="Q329">
        <v>1</v>
      </c>
      <c r="X329">
        <v>0.81</v>
      </c>
      <c r="Y329">
        <v>0</v>
      </c>
      <c r="Z329">
        <v>0</v>
      </c>
      <c r="AA329">
        <v>0</v>
      </c>
      <c r="AB329">
        <v>658.94</v>
      </c>
      <c r="AC329">
        <v>0</v>
      </c>
      <c r="AD329">
        <v>1</v>
      </c>
      <c r="AE329">
        <v>1</v>
      </c>
      <c r="AF329" t="s">
        <v>3</v>
      </c>
      <c r="AG329">
        <v>0.81</v>
      </c>
      <c r="AH329">
        <v>2</v>
      </c>
      <c r="AI329">
        <v>65172064</v>
      </c>
      <c r="AJ329">
        <v>320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ROW(Source!A304)</f>
        <v>304</v>
      </c>
      <c r="B330">
        <v>65172067</v>
      </c>
      <c r="C330">
        <v>65172063</v>
      </c>
      <c r="D330">
        <v>56217452</v>
      </c>
      <c r="E330">
        <v>108</v>
      </c>
      <c r="F330">
        <v>1</v>
      </c>
      <c r="G330">
        <v>1</v>
      </c>
      <c r="H330">
        <v>1</v>
      </c>
      <c r="I330" t="s">
        <v>759</v>
      </c>
      <c r="J330" t="s">
        <v>3</v>
      </c>
      <c r="K330" t="s">
        <v>760</v>
      </c>
      <c r="L330">
        <v>1369</v>
      </c>
      <c r="N330">
        <v>1013</v>
      </c>
      <c r="O330" t="s">
        <v>699</v>
      </c>
      <c r="P330" t="s">
        <v>699</v>
      </c>
      <c r="Q330">
        <v>1</v>
      </c>
      <c r="X330">
        <v>0.81</v>
      </c>
      <c r="Y330">
        <v>0</v>
      </c>
      <c r="Z330">
        <v>0</v>
      </c>
      <c r="AA330">
        <v>0</v>
      </c>
      <c r="AB330">
        <v>644.29999999999995</v>
      </c>
      <c r="AC330">
        <v>0</v>
      </c>
      <c r="AD330">
        <v>1</v>
      </c>
      <c r="AE330">
        <v>1</v>
      </c>
      <c r="AF330" t="s">
        <v>3</v>
      </c>
      <c r="AG330">
        <v>0.81</v>
      </c>
      <c r="AH330">
        <v>2</v>
      </c>
      <c r="AI330">
        <v>65172065</v>
      </c>
      <c r="AJ330">
        <v>321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ROW(Source!A305)</f>
        <v>305</v>
      </c>
      <c r="B331">
        <v>65172071</v>
      </c>
      <c r="C331">
        <v>65172068</v>
      </c>
      <c r="D331">
        <v>56217421</v>
      </c>
      <c r="E331">
        <v>108</v>
      </c>
      <c r="F331">
        <v>1</v>
      </c>
      <c r="G331">
        <v>1</v>
      </c>
      <c r="H331">
        <v>1</v>
      </c>
      <c r="I331" t="s">
        <v>757</v>
      </c>
      <c r="J331" t="s">
        <v>3</v>
      </c>
      <c r="K331" t="s">
        <v>758</v>
      </c>
      <c r="L331">
        <v>1369</v>
      </c>
      <c r="N331">
        <v>1013</v>
      </c>
      <c r="O331" t="s">
        <v>699</v>
      </c>
      <c r="P331" t="s">
        <v>699</v>
      </c>
      <c r="Q331">
        <v>1</v>
      </c>
      <c r="X331">
        <v>6.48</v>
      </c>
      <c r="Y331">
        <v>0</v>
      </c>
      <c r="Z331">
        <v>0</v>
      </c>
      <c r="AA331">
        <v>0</v>
      </c>
      <c r="AB331">
        <v>658.94</v>
      </c>
      <c r="AC331">
        <v>0</v>
      </c>
      <c r="AD331">
        <v>1</v>
      </c>
      <c r="AE331">
        <v>1</v>
      </c>
      <c r="AF331" t="s">
        <v>3</v>
      </c>
      <c r="AG331">
        <v>6.48</v>
      </c>
      <c r="AH331">
        <v>2</v>
      </c>
      <c r="AI331">
        <v>65172069</v>
      </c>
      <c r="AJ331">
        <v>322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ROW(Source!A305)</f>
        <v>305</v>
      </c>
      <c r="B332">
        <v>65172072</v>
      </c>
      <c r="C332">
        <v>65172068</v>
      </c>
      <c r="D332">
        <v>56217452</v>
      </c>
      <c r="E332">
        <v>108</v>
      </c>
      <c r="F332">
        <v>1</v>
      </c>
      <c r="G332">
        <v>1</v>
      </c>
      <c r="H332">
        <v>1</v>
      </c>
      <c r="I332" t="s">
        <v>759</v>
      </c>
      <c r="J332" t="s">
        <v>3</v>
      </c>
      <c r="K332" t="s">
        <v>760</v>
      </c>
      <c r="L332">
        <v>1369</v>
      </c>
      <c r="N332">
        <v>1013</v>
      </c>
      <c r="O332" t="s">
        <v>699</v>
      </c>
      <c r="P332" t="s">
        <v>699</v>
      </c>
      <c r="Q332">
        <v>1</v>
      </c>
      <c r="X332">
        <v>6.48</v>
      </c>
      <c r="Y332">
        <v>0</v>
      </c>
      <c r="Z332">
        <v>0</v>
      </c>
      <c r="AA332">
        <v>0</v>
      </c>
      <c r="AB332">
        <v>644.29999999999995</v>
      </c>
      <c r="AC332">
        <v>0</v>
      </c>
      <c r="AD332">
        <v>1</v>
      </c>
      <c r="AE332">
        <v>1</v>
      </c>
      <c r="AF332" t="s">
        <v>3</v>
      </c>
      <c r="AG332">
        <v>6.48</v>
      </c>
      <c r="AH332">
        <v>2</v>
      </c>
      <c r="AI332">
        <v>65172070</v>
      </c>
      <c r="AJ332">
        <v>323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ROW(Source!A306)</f>
        <v>306</v>
      </c>
      <c r="B333">
        <v>65172076</v>
      </c>
      <c r="C333">
        <v>65172073</v>
      </c>
      <c r="D333">
        <v>56217421</v>
      </c>
      <c r="E333">
        <v>108</v>
      </c>
      <c r="F333">
        <v>1</v>
      </c>
      <c r="G333">
        <v>1</v>
      </c>
      <c r="H333">
        <v>1</v>
      </c>
      <c r="I333" t="s">
        <v>757</v>
      </c>
      <c r="J333" t="s">
        <v>3</v>
      </c>
      <c r="K333" t="s">
        <v>758</v>
      </c>
      <c r="L333">
        <v>1369</v>
      </c>
      <c r="N333">
        <v>1013</v>
      </c>
      <c r="O333" t="s">
        <v>699</v>
      </c>
      <c r="P333" t="s">
        <v>699</v>
      </c>
      <c r="Q333">
        <v>1</v>
      </c>
      <c r="X333">
        <v>1.62</v>
      </c>
      <c r="Y333">
        <v>0</v>
      </c>
      <c r="Z333">
        <v>0</v>
      </c>
      <c r="AA333">
        <v>0</v>
      </c>
      <c r="AB333">
        <v>658.94</v>
      </c>
      <c r="AC333">
        <v>0</v>
      </c>
      <c r="AD333">
        <v>1</v>
      </c>
      <c r="AE333">
        <v>1</v>
      </c>
      <c r="AF333" t="s">
        <v>3</v>
      </c>
      <c r="AG333">
        <v>1.62</v>
      </c>
      <c r="AH333">
        <v>2</v>
      </c>
      <c r="AI333">
        <v>65172074</v>
      </c>
      <c r="AJ333">
        <v>324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ROW(Source!A306)</f>
        <v>306</v>
      </c>
      <c r="B334">
        <v>65172077</v>
      </c>
      <c r="C334">
        <v>65172073</v>
      </c>
      <c r="D334">
        <v>56217452</v>
      </c>
      <c r="E334">
        <v>108</v>
      </c>
      <c r="F334">
        <v>1</v>
      </c>
      <c r="G334">
        <v>1</v>
      </c>
      <c r="H334">
        <v>1</v>
      </c>
      <c r="I334" t="s">
        <v>759</v>
      </c>
      <c r="J334" t="s">
        <v>3</v>
      </c>
      <c r="K334" t="s">
        <v>760</v>
      </c>
      <c r="L334">
        <v>1369</v>
      </c>
      <c r="N334">
        <v>1013</v>
      </c>
      <c r="O334" t="s">
        <v>699</v>
      </c>
      <c r="P334" t="s">
        <v>699</v>
      </c>
      <c r="Q334">
        <v>1</v>
      </c>
      <c r="X334">
        <v>1.62</v>
      </c>
      <c r="Y334">
        <v>0</v>
      </c>
      <c r="Z334">
        <v>0</v>
      </c>
      <c r="AA334">
        <v>0</v>
      </c>
      <c r="AB334">
        <v>644.29999999999995</v>
      </c>
      <c r="AC334">
        <v>0</v>
      </c>
      <c r="AD334">
        <v>1</v>
      </c>
      <c r="AE334">
        <v>1</v>
      </c>
      <c r="AF334" t="s">
        <v>3</v>
      </c>
      <c r="AG334">
        <v>1.62</v>
      </c>
      <c r="AH334">
        <v>2</v>
      </c>
      <c r="AI334">
        <v>65172075</v>
      </c>
      <c r="AJ334">
        <v>325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62</v>
      </c>
      <c r="B1">
        <v>1</v>
      </c>
      <c r="C1" t="s">
        <v>3</v>
      </c>
      <c r="D1" t="s">
        <v>773</v>
      </c>
      <c r="E1" t="s">
        <v>3</v>
      </c>
      <c r="F1" t="s">
        <v>3</v>
      </c>
      <c r="G1" t="s">
        <v>3</v>
      </c>
      <c r="H1" t="s">
        <v>3</v>
      </c>
      <c r="I1" t="s">
        <v>3</v>
      </c>
      <c r="J1" t="s">
        <v>3</v>
      </c>
      <c r="K1" t="s">
        <v>3</v>
      </c>
      <c r="L1" t="s">
        <v>3</v>
      </c>
      <c r="M1" t="s">
        <v>3</v>
      </c>
      <c r="N1" t="s">
        <v>3</v>
      </c>
      <c r="O1" t="s">
        <v>3</v>
      </c>
      <c r="P1" t="s">
        <v>3</v>
      </c>
      <c r="Q1" t="s">
        <v>3</v>
      </c>
      <c r="R1" t="s">
        <v>3</v>
      </c>
      <c r="S1" t="s">
        <v>774</v>
      </c>
      <c r="T1" t="s">
        <v>787</v>
      </c>
      <c r="U1" t="s">
        <v>775</v>
      </c>
    </row>
    <row r="2" spans="1:21" x14ac:dyDescent="0.2">
      <c r="A2">
        <v>62</v>
      </c>
      <c r="B2">
        <v>1</v>
      </c>
      <c r="C2" t="s">
        <v>3</v>
      </c>
      <c r="D2" t="s">
        <v>97</v>
      </c>
      <c r="E2" t="s">
        <v>79</v>
      </c>
      <c r="F2" t="s">
        <v>79</v>
      </c>
      <c r="G2" t="s">
        <v>79</v>
      </c>
      <c r="H2" t="s">
        <v>3</v>
      </c>
      <c r="I2" t="s">
        <v>79</v>
      </c>
      <c r="J2" t="s">
        <v>79</v>
      </c>
      <c r="K2" t="s">
        <v>3</v>
      </c>
      <c r="L2" t="s">
        <v>3</v>
      </c>
      <c r="M2" t="s">
        <v>3</v>
      </c>
      <c r="N2" t="s">
        <v>97</v>
      </c>
      <c r="O2" t="s">
        <v>79</v>
      </c>
      <c r="P2" t="s">
        <v>3</v>
      </c>
      <c r="Q2" t="s">
        <v>3</v>
      </c>
      <c r="R2" t="s">
        <v>3</v>
      </c>
      <c r="S2" t="s">
        <v>776</v>
      </c>
      <c r="T2" t="s">
        <v>777</v>
      </c>
      <c r="U2" t="s">
        <v>778</v>
      </c>
    </row>
    <row r="3" spans="1:21" x14ac:dyDescent="0.2">
      <c r="A3">
        <v>63</v>
      </c>
      <c r="B3">
        <v>1</v>
      </c>
      <c r="C3" t="s">
        <v>3</v>
      </c>
      <c r="D3" t="s">
        <v>773</v>
      </c>
      <c r="E3" t="s">
        <v>3</v>
      </c>
      <c r="F3" t="s">
        <v>3</v>
      </c>
      <c r="G3" t="s">
        <v>3</v>
      </c>
      <c r="H3" t="s">
        <v>3</v>
      </c>
      <c r="I3" t="s">
        <v>3</v>
      </c>
      <c r="J3" t="s">
        <v>3</v>
      </c>
      <c r="K3" t="s">
        <v>3</v>
      </c>
      <c r="L3" t="s">
        <v>3</v>
      </c>
      <c r="M3" t="s">
        <v>3</v>
      </c>
      <c r="N3" t="s">
        <v>3</v>
      </c>
      <c r="O3" t="s">
        <v>3</v>
      </c>
      <c r="P3" t="s">
        <v>3</v>
      </c>
      <c r="Q3" t="s">
        <v>3</v>
      </c>
      <c r="R3" t="s">
        <v>3</v>
      </c>
      <c r="S3" t="s">
        <v>774</v>
      </c>
      <c r="T3" t="s">
        <v>787</v>
      </c>
      <c r="U3" t="s">
        <v>775</v>
      </c>
    </row>
    <row r="4" spans="1:21" x14ac:dyDescent="0.2">
      <c r="A4">
        <v>63</v>
      </c>
      <c r="B4">
        <v>1</v>
      </c>
      <c r="C4" t="s">
        <v>3</v>
      </c>
      <c r="D4" t="s">
        <v>97</v>
      </c>
      <c r="E4" t="s">
        <v>79</v>
      </c>
      <c r="F4" t="s">
        <v>79</v>
      </c>
      <c r="G4" t="s">
        <v>79</v>
      </c>
      <c r="H4" t="s">
        <v>3</v>
      </c>
      <c r="I4" t="s">
        <v>79</v>
      </c>
      <c r="J4" t="s">
        <v>79</v>
      </c>
      <c r="K4" t="s">
        <v>3</v>
      </c>
      <c r="L4" t="s">
        <v>3</v>
      </c>
      <c r="M4" t="s">
        <v>3</v>
      </c>
      <c r="N4" t="s">
        <v>97</v>
      </c>
      <c r="O4" t="s">
        <v>79</v>
      </c>
      <c r="P4" t="s">
        <v>3</v>
      </c>
      <c r="Q4" t="s">
        <v>3</v>
      </c>
      <c r="R4" t="s">
        <v>3</v>
      </c>
      <c r="S4" t="s">
        <v>776</v>
      </c>
      <c r="T4" t="s">
        <v>777</v>
      </c>
      <c r="U4" t="s">
        <v>778</v>
      </c>
    </row>
    <row r="5" spans="1:21" x14ac:dyDescent="0.2">
      <c r="A5">
        <v>64</v>
      </c>
      <c r="B5">
        <v>1</v>
      </c>
      <c r="C5" t="s">
        <v>3</v>
      </c>
      <c r="D5" t="s">
        <v>97</v>
      </c>
      <c r="E5" t="s">
        <v>98</v>
      </c>
      <c r="F5" t="s">
        <v>98</v>
      </c>
      <c r="G5" t="s">
        <v>98</v>
      </c>
      <c r="H5" t="s">
        <v>3</v>
      </c>
      <c r="I5" t="s">
        <v>98</v>
      </c>
      <c r="J5" t="s">
        <v>98</v>
      </c>
      <c r="K5" t="s">
        <v>3</v>
      </c>
      <c r="L5" t="s">
        <v>3</v>
      </c>
      <c r="M5" t="s">
        <v>3</v>
      </c>
      <c r="N5" t="s">
        <v>97</v>
      </c>
      <c r="O5" t="s">
        <v>98</v>
      </c>
      <c r="P5" t="s">
        <v>3</v>
      </c>
      <c r="Q5" t="s">
        <v>3</v>
      </c>
      <c r="R5" t="s">
        <v>3</v>
      </c>
      <c r="S5" t="s">
        <v>779</v>
      </c>
      <c r="T5" t="s">
        <v>780</v>
      </c>
      <c r="U5" t="s">
        <v>778</v>
      </c>
    </row>
    <row r="6" spans="1:21" x14ac:dyDescent="0.2">
      <c r="A6">
        <v>66</v>
      </c>
      <c r="B6">
        <v>1</v>
      </c>
      <c r="C6" t="s">
        <v>3</v>
      </c>
      <c r="D6" t="s">
        <v>3</v>
      </c>
      <c r="E6" t="s">
        <v>3</v>
      </c>
      <c r="F6" t="s">
        <v>3</v>
      </c>
      <c r="G6" t="s">
        <v>119</v>
      </c>
      <c r="H6" t="s">
        <v>3</v>
      </c>
      <c r="I6" t="s">
        <v>119</v>
      </c>
      <c r="J6" t="s">
        <v>3</v>
      </c>
      <c r="K6" t="s">
        <v>3</v>
      </c>
      <c r="L6" t="s">
        <v>3</v>
      </c>
      <c r="M6" t="s">
        <v>3</v>
      </c>
      <c r="N6" t="s">
        <v>3</v>
      </c>
      <c r="O6" t="s">
        <v>3</v>
      </c>
      <c r="P6" t="s">
        <v>3</v>
      </c>
      <c r="Q6" t="s">
        <v>3</v>
      </c>
      <c r="R6" t="s">
        <v>3</v>
      </c>
      <c r="S6" t="s">
        <v>781</v>
      </c>
      <c r="T6" t="s">
        <v>782</v>
      </c>
      <c r="U6" t="s">
        <v>783</v>
      </c>
    </row>
    <row r="7" spans="1:21" x14ac:dyDescent="0.2">
      <c r="A7">
        <v>121</v>
      </c>
      <c r="B7">
        <v>1</v>
      </c>
      <c r="C7" t="s">
        <v>3</v>
      </c>
      <c r="D7" t="s">
        <v>97</v>
      </c>
      <c r="E7" t="s">
        <v>223</v>
      </c>
      <c r="F7" t="s">
        <v>223</v>
      </c>
      <c r="G7" t="s">
        <v>223</v>
      </c>
      <c r="H7" t="s">
        <v>3</v>
      </c>
      <c r="I7" t="s">
        <v>223</v>
      </c>
      <c r="J7" t="s">
        <v>223</v>
      </c>
      <c r="K7" t="s">
        <v>3</v>
      </c>
      <c r="L7" t="s">
        <v>3</v>
      </c>
      <c r="M7" t="s">
        <v>3</v>
      </c>
      <c r="N7" t="s">
        <v>97</v>
      </c>
      <c r="O7" t="s">
        <v>223</v>
      </c>
      <c r="P7" t="s">
        <v>3</v>
      </c>
      <c r="Q7" t="s">
        <v>3</v>
      </c>
      <c r="R7" t="s">
        <v>3</v>
      </c>
      <c r="S7" t="s">
        <v>784</v>
      </c>
      <c r="T7" t="s">
        <v>785</v>
      </c>
      <c r="U7" t="s">
        <v>778</v>
      </c>
    </row>
    <row r="8" spans="1:21" x14ac:dyDescent="0.2">
      <c r="A8">
        <v>122</v>
      </c>
      <c r="B8">
        <v>1</v>
      </c>
      <c r="C8" t="s">
        <v>3</v>
      </c>
      <c r="D8" t="s">
        <v>97</v>
      </c>
      <c r="E8" t="s">
        <v>223</v>
      </c>
      <c r="F8" t="s">
        <v>223</v>
      </c>
      <c r="G8" t="s">
        <v>223</v>
      </c>
      <c r="H8" t="s">
        <v>3</v>
      </c>
      <c r="I8" t="s">
        <v>223</v>
      </c>
      <c r="J8" t="s">
        <v>223</v>
      </c>
      <c r="K8" t="s">
        <v>3</v>
      </c>
      <c r="L8" t="s">
        <v>3</v>
      </c>
      <c r="M8" t="s">
        <v>3</v>
      </c>
      <c r="N8" t="s">
        <v>97</v>
      </c>
      <c r="O8" t="s">
        <v>223</v>
      </c>
      <c r="P8" t="s">
        <v>3</v>
      </c>
      <c r="Q8" t="s">
        <v>3</v>
      </c>
      <c r="R8" t="s">
        <v>3</v>
      </c>
      <c r="S8" t="s">
        <v>784</v>
      </c>
      <c r="T8" t="s">
        <v>785</v>
      </c>
      <c r="U8" t="s">
        <v>778</v>
      </c>
    </row>
    <row r="9" spans="1:21" x14ac:dyDescent="0.2">
      <c r="A9">
        <v>123</v>
      </c>
      <c r="B9">
        <v>1</v>
      </c>
      <c r="C9" t="s">
        <v>3</v>
      </c>
      <c r="D9" t="s">
        <v>97</v>
      </c>
      <c r="E9" t="s">
        <v>223</v>
      </c>
      <c r="F9" t="s">
        <v>223</v>
      </c>
      <c r="G9" t="s">
        <v>223</v>
      </c>
      <c r="H9" t="s">
        <v>3</v>
      </c>
      <c r="I9" t="s">
        <v>223</v>
      </c>
      <c r="J9" t="s">
        <v>223</v>
      </c>
      <c r="K9" t="s">
        <v>3</v>
      </c>
      <c r="L9" t="s">
        <v>3</v>
      </c>
      <c r="M9" t="s">
        <v>3</v>
      </c>
      <c r="N9" t="s">
        <v>97</v>
      </c>
      <c r="O9" t="s">
        <v>223</v>
      </c>
      <c r="P9" t="s">
        <v>3</v>
      </c>
      <c r="Q9" t="s">
        <v>3</v>
      </c>
      <c r="R9" t="s">
        <v>3</v>
      </c>
      <c r="S9" t="s">
        <v>784</v>
      </c>
      <c r="T9" t="s">
        <v>785</v>
      </c>
      <c r="U9" t="s">
        <v>778</v>
      </c>
    </row>
    <row r="10" spans="1:21" x14ac:dyDescent="0.2">
      <c r="A10">
        <v>124</v>
      </c>
      <c r="B10">
        <v>1</v>
      </c>
      <c r="C10" t="s">
        <v>3</v>
      </c>
      <c r="D10" t="s">
        <v>97</v>
      </c>
      <c r="E10" t="s">
        <v>223</v>
      </c>
      <c r="F10" t="s">
        <v>223</v>
      </c>
      <c r="G10" t="s">
        <v>223</v>
      </c>
      <c r="H10" t="s">
        <v>3</v>
      </c>
      <c r="I10" t="s">
        <v>223</v>
      </c>
      <c r="J10" t="s">
        <v>223</v>
      </c>
      <c r="K10" t="s">
        <v>3</v>
      </c>
      <c r="L10" t="s">
        <v>3</v>
      </c>
      <c r="M10" t="s">
        <v>3</v>
      </c>
      <c r="N10" t="s">
        <v>97</v>
      </c>
      <c r="O10" t="s">
        <v>223</v>
      </c>
      <c r="P10" t="s">
        <v>3</v>
      </c>
      <c r="Q10" t="s">
        <v>3</v>
      </c>
      <c r="R10" t="s">
        <v>3</v>
      </c>
      <c r="S10" t="s">
        <v>784</v>
      </c>
      <c r="T10" t="s">
        <v>785</v>
      </c>
      <c r="U10" t="s">
        <v>778</v>
      </c>
    </row>
    <row r="11" spans="1:21" x14ac:dyDescent="0.2">
      <c r="A11">
        <v>125</v>
      </c>
      <c r="B11">
        <v>1</v>
      </c>
      <c r="C11" t="s">
        <v>3</v>
      </c>
      <c r="D11" t="s">
        <v>97</v>
      </c>
      <c r="E11" t="s">
        <v>223</v>
      </c>
      <c r="F11" t="s">
        <v>223</v>
      </c>
      <c r="G11" t="s">
        <v>223</v>
      </c>
      <c r="H11" t="s">
        <v>3</v>
      </c>
      <c r="I11" t="s">
        <v>223</v>
      </c>
      <c r="J11" t="s">
        <v>223</v>
      </c>
      <c r="K11" t="s">
        <v>3</v>
      </c>
      <c r="L11" t="s">
        <v>3</v>
      </c>
      <c r="M11" t="s">
        <v>3</v>
      </c>
      <c r="N11" t="s">
        <v>97</v>
      </c>
      <c r="O11" t="s">
        <v>223</v>
      </c>
      <c r="P11" t="s">
        <v>3</v>
      </c>
      <c r="Q11" t="s">
        <v>3</v>
      </c>
      <c r="R11" t="s">
        <v>3</v>
      </c>
      <c r="S11" t="s">
        <v>784</v>
      </c>
      <c r="T11" t="s">
        <v>785</v>
      </c>
      <c r="U11" t="s">
        <v>778</v>
      </c>
    </row>
    <row r="12" spans="1:21" x14ac:dyDescent="0.2">
      <c r="A12">
        <v>126</v>
      </c>
      <c r="B12">
        <v>1</v>
      </c>
      <c r="C12" t="s">
        <v>3</v>
      </c>
      <c r="D12" t="s">
        <v>97</v>
      </c>
      <c r="E12" t="s">
        <v>223</v>
      </c>
      <c r="F12" t="s">
        <v>223</v>
      </c>
      <c r="G12" t="s">
        <v>223</v>
      </c>
      <c r="H12" t="s">
        <v>3</v>
      </c>
      <c r="I12" t="s">
        <v>223</v>
      </c>
      <c r="J12" t="s">
        <v>223</v>
      </c>
      <c r="K12" t="s">
        <v>3</v>
      </c>
      <c r="L12" t="s">
        <v>3</v>
      </c>
      <c r="M12" t="s">
        <v>3</v>
      </c>
      <c r="N12" t="s">
        <v>97</v>
      </c>
      <c r="O12" t="s">
        <v>223</v>
      </c>
      <c r="P12" t="s">
        <v>3</v>
      </c>
      <c r="Q12" t="s">
        <v>3</v>
      </c>
      <c r="R12" t="s">
        <v>3</v>
      </c>
      <c r="S12" t="s">
        <v>784</v>
      </c>
      <c r="T12" t="s">
        <v>785</v>
      </c>
      <c r="U12" t="s">
        <v>778</v>
      </c>
    </row>
    <row r="13" spans="1:21" x14ac:dyDescent="0.2">
      <c r="A13">
        <v>127</v>
      </c>
      <c r="B13">
        <v>1</v>
      </c>
      <c r="C13" t="s">
        <v>3</v>
      </c>
      <c r="D13" t="s">
        <v>97</v>
      </c>
      <c r="E13" t="s">
        <v>223</v>
      </c>
      <c r="F13" t="s">
        <v>223</v>
      </c>
      <c r="G13" t="s">
        <v>223</v>
      </c>
      <c r="H13" t="s">
        <v>3</v>
      </c>
      <c r="I13" t="s">
        <v>223</v>
      </c>
      <c r="J13" t="s">
        <v>223</v>
      </c>
      <c r="K13" t="s">
        <v>3</v>
      </c>
      <c r="L13" t="s">
        <v>3</v>
      </c>
      <c r="M13" t="s">
        <v>3</v>
      </c>
      <c r="N13" t="s">
        <v>97</v>
      </c>
      <c r="O13" t="s">
        <v>223</v>
      </c>
      <c r="P13" t="s">
        <v>3</v>
      </c>
      <c r="Q13" t="s">
        <v>3</v>
      </c>
      <c r="R13" t="s">
        <v>3</v>
      </c>
      <c r="S13" t="s">
        <v>784</v>
      </c>
      <c r="T13" t="s">
        <v>785</v>
      </c>
      <c r="U13" t="s">
        <v>778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Новый объект</v>
      </c>
      <c r="G12" t="str">
        <f>Source!G12</f>
        <v>КТП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ФСНБ 421+557прРИМ</vt:lpstr>
      <vt:lpstr>Source</vt:lpstr>
      <vt:lpstr>SourceObSm</vt:lpstr>
      <vt:lpstr>SmtRes</vt:lpstr>
      <vt:lpstr>EtalonRes</vt:lpstr>
      <vt:lpstr>SrcPoprs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ALEXANDR</cp:lastModifiedBy>
  <dcterms:created xsi:type="dcterms:W3CDTF">2025-04-21T07:59:53Z</dcterms:created>
  <dcterms:modified xsi:type="dcterms:W3CDTF">2025-04-23T19:22:00Z</dcterms:modified>
</cp:coreProperties>
</file>